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55" windowHeight="98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79" i="1"/>
  <c r="E79"/>
  <c r="D79"/>
  <c r="E76"/>
  <c r="E75"/>
  <c r="E73"/>
  <c r="E72"/>
  <c r="E71"/>
  <c r="E70"/>
  <c r="E69"/>
  <c r="E68"/>
  <c r="E67"/>
  <c r="E63"/>
  <c r="E62"/>
  <c r="E61"/>
  <c r="E60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8"/>
  <c r="E58"/>
  <c r="E57"/>
  <c r="E56"/>
  <c r="E55"/>
  <c r="E54"/>
  <c r="E52"/>
  <c r="E51"/>
  <c r="E50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5"/>
  <c r="E24"/>
  <c r="E23"/>
  <c r="E22"/>
  <c r="E21"/>
  <c r="E20"/>
  <c r="E19"/>
  <c r="E18"/>
  <c r="E16"/>
  <c r="E15"/>
  <c r="E14"/>
  <c r="E13"/>
  <c r="E12"/>
  <c r="E11"/>
  <c r="E10"/>
  <c r="E9"/>
  <c r="E8"/>
  <c r="D58"/>
  <c r="F58" s="1"/>
  <c r="D24"/>
  <c r="D54"/>
  <c r="D53"/>
  <c r="D50"/>
  <c r="D21"/>
  <c r="D17"/>
  <c r="D13"/>
  <c r="E78" l="1"/>
</calcChain>
</file>

<file path=xl/sharedStrings.xml><?xml version="1.0" encoding="utf-8"?>
<sst xmlns="http://schemas.openxmlformats.org/spreadsheetml/2006/main" count="150" uniqueCount="125">
  <si>
    <t>Загальний фонд</t>
  </si>
  <si>
    <t>Код</t>
  </si>
  <si>
    <t>Найменування</t>
  </si>
  <si>
    <t>% виконання до плану з початку року</t>
  </si>
  <si>
    <t>0160</t>
  </si>
  <si>
    <t>0180</t>
  </si>
  <si>
    <t>Інша діяльність у сфері державного управління</t>
  </si>
  <si>
    <t>1010</t>
  </si>
  <si>
    <t>Надання дошкільної освіти</t>
  </si>
  <si>
    <t>1021</t>
  </si>
  <si>
    <t>1031</t>
  </si>
  <si>
    <t>1061</t>
  </si>
  <si>
    <t>1070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</si>
  <si>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</si>
  <si>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</si>
  <si>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</si>
  <si>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</si>
  <si>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</si>
  <si>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</si>
  <si>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1152</t>
  </si>
  <si>
    <t>1160</t>
  </si>
  <si>
    <t>Забезпечення діяльності центрів професійного розвитку педагогічних працівників</t>
  </si>
  <si>
    <t>1200</t>
  </si>
  <si>
    <t>1210</t>
  </si>
  <si>
    <t>2010</t>
  </si>
  <si>
    <t>Багатопрофільна стаціонарна медична допомога населенню</t>
  </si>
  <si>
    <t>2111</t>
  </si>
  <si>
    <t>2144</t>
  </si>
  <si>
    <t>Централізовані заходи з лікування хворих на цукровий та нецукровий діабет</t>
  </si>
  <si>
    <t>3031</t>
  </si>
  <si>
    <t>3032</t>
  </si>
  <si>
    <t>Надання пільг окремим категоріям громадян з оплати послуг зв'язку</t>
  </si>
  <si>
    <t>3033</t>
  </si>
  <si>
    <t>3035</t>
  </si>
  <si>
    <t>3050</t>
  </si>
  <si>
    <t>3104</t>
  </si>
  <si>
    <t>3112</t>
  </si>
  <si>
    <t>Заходи державної політики з питань дітей та їх соціального захисту</t>
  </si>
  <si>
    <t>3121</t>
  </si>
  <si>
    <t xml:space="preserve">Утримання та забезпечення діяльності центрів соціальних служб </t>
  </si>
  <si>
    <t>3133</t>
  </si>
  <si>
    <t>Інші заходи та заклади молодіжної політики</t>
  </si>
  <si>
    <t>3140</t>
  </si>
  <si>
    <t>3160</t>
  </si>
  <si>
    <t>3192</t>
  </si>
  <si>
    <t>3242</t>
  </si>
  <si>
    <t>Інші заходи у сфері соціального захисту і соціального забезпечення</t>
  </si>
  <si>
    <t>4020</t>
  </si>
  <si>
    <t>4030</t>
  </si>
  <si>
    <t>Забезпечення діяльності бібліотек</t>
  </si>
  <si>
    <t>4040</t>
  </si>
  <si>
    <t>4060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</si>
  <si>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</si>
  <si>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</si>
  <si>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</si>
  <si>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</si>
  <si>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</si>
  <si>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5041</t>
  </si>
  <si>
    <t>Утримання та фінансова підтримка спортивних споруд</t>
  </si>
  <si>
    <t>6013</t>
  </si>
  <si>
    <t>6017</t>
  </si>
  <si>
    <t>6020</t>
  </si>
  <si>
    <t>6030</t>
  </si>
  <si>
    <t>Організація благоустрою населених пунктів</t>
  </si>
  <si>
    <t>7130</t>
  </si>
  <si>
    <t>Здійснення  заходів із землеустрою</t>
  </si>
  <si>
    <t>7461</t>
  </si>
  <si>
    <t>7520</t>
  </si>
  <si>
    <t>Реалізація Національної програми інформатизації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</si>
  <si>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</si>
  <si>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</si>
  <si>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</si>
  <si>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</si>
  <si>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</si>
  <si>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8230</t>
  </si>
  <si>
    <t>Інші заходи громадського порядку та безпеки</t>
  </si>
  <si>
    <t>8410</t>
  </si>
  <si>
    <t>ВСЬОГО:</t>
  </si>
  <si>
    <t>Факт</t>
  </si>
  <si>
    <t>План</t>
  </si>
  <si>
    <t>Керівництво</t>
  </si>
  <si>
    <t xml:space="preserve">Надання загальної середньої освіти </t>
  </si>
  <si>
    <t>Надання загальної середньої освіти МБ</t>
  </si>
  <si>
    <t>Надання загальної середньої освіти ДБ</t>
  </si>
  <si>
    <t xml:space="preserve">Надання позашкільної освіти </t>
  </si>
  <si>
    <t>Забезпечення діяльності ІРЦ</t>
  </si>
  <si>
    <t>Надання загальної середньої освіти</t>
  </si>
  <si>
    <t>Надання освіти -освітні потреби</t>
  </si>
  <si>
    <t>Первинна медична допомога населенню</t>
  </si>
  <si>
    <t xml:space="preserve">Надання інших пільг окремим категоріям громадян </t>
  </si>
  <si>
    <t xml:space="preserve">Компенсаційні виплати на пільговий проїзд автомобільним транспортом </t>
  </si>
  <si>
    <t>Компенсаційні виплати за пільговий проїзд  на залізничному транспорті</t>
  </si>
  <si>
    <t>Територіальний центр</t>
  </si>
  <si>
    <t>Оздоровлення та відпочинок дітей</t>
  </si>
  <si>
    <t>Надання соціальних гарантій фізичним особам, які надають соціальні послуги громадянам похилого віку</t>
  </si>
  <si>
    <t>Надання фінансової підтримки громадським об`єднанням  ветеранів</t>
  </si>
  <si>
    <t xml:space="preserve">Фінансова підтримка  художніх і музичних колективів, </t>
  </si>
  <si>
    <t>Забезпечення діяльності музею</t>
  </si>
  <si>
    <t xml:space="preserve">Забезпечення діяльності будинків культури, клубів, центрів дозвілля </t>
  </si>
  <si>
    <t>ДЮСШ</t>
  </si>
  <si>
    <t>Водоканал</t>
  </si>
  <si>
    <t>ЖПП</t>
  </si>
  <si>
    <t>Комунсервіс</t>
  </si>
  <si>
    <t>Благоустрій населених пунктів</t>
  </si>
  <si>
    <t xml:space="preserve">Утримання та розвиток автомобільних доріг </t>
  </si>
  <si>
    <t xml:space="preserve">Заходи із запобігання та ліквідації надзвичайних ситуацій </t>
  </si>
  <si>
    <t>Фінансова підтримка ЗМІ</t>
  </si>
  <si>
    <t>Надання освіти за рахунок залишку коштів особам з особливими освітніми потребами</t>
  </si>
  <si>
    <t>Пільгове медичне постраждалих внаслідок Чорнобильської катастрофи</t>
  </si>
  <si>
    <t xml:space="preserve"> </t>
  </si>
  <si>
    <t>тис грн</t>
  </si>
  <si>
    <t>1181</t>
  </si>
  <si>
    <t>1182</t>
  </si>
  <si>
    <t>7350</t>
  </si>
  <si>
    <t>9750</t>
  </si>
  <si>
    <t>Субвенція з місцевого бюджету на співфінансування інвестиційних проектів</t>
  </si>
  <si>
    <t>Спеціальний фонд</t>
  </si>
  <si>
    <t>Співфінансування заходів, що реалізуються за рахунок субвенції НУШ</t>
  </si>
  <si>
    <t>Виконання заходів, спрямованих на забезпечення якісної, сучасної та доступної загальної середньої освіти НУШ- ДБ</t>
  </si>
  <si>
    <t>Надання освіти за рахунок субвенції з  підтримки особам з особливими освітніми потребами</t>
  </si>
  <si>
    <t>Утримання та розвиток автомобільних доріг</t>
  </si>
  <si>
    <t>Розроблення схем планування та забудови територій</t>
  </si>
  <si>
    <t>РАЗОМ</t>
  </si>
  <si>
    <t>Начальник фінансового управління                      Валентина МАТВІЄНКО</t>
  </si>
  <si>
    <t>Пояснювальна записка щодо виконання видаткової частини бюджету Березанської тг за січень-червень 2021р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</si>
</sst>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 applyFont="1" applyBorder="1" applyAlignment="1" applyProtection="1">
      <alignment horizontal="left" vertical="top" wrapText="1"/>
    </xf>
    <xf numFmtId="164" fontId="10" fillId="0" borderId="1" xfId="0" applyNumberFormat="1" applyFont="1" applyBorder="1"/>
    <xf numFmtId="0" fontId="12" fillId="0" borderId="0" xfId="1" applyFont="1" applyBorder="1" applyAlignment="1" applyProtection="1">
      <alignment horizontal="right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9" fillId="0" borderId="1" xfId="0" applyFont="1" applyBorder="1"/>
    <xf numFmtId="164" fontId="3" fillId="0" borderId="1" xfId="2" applyNumberFormat="1" applyFont="1" applyBorder="1" applyAlignment="1" applyProtection="1">
      <alignment horizontal="right" vertical="top" wrapText="1"/>
    </xf>
    <xf numFmtId="0" fontId="8" fillId="0" borderId="1" xfId="1" applyFont="1" applyBorder="1" applyAlignment="1" applyProtection="1">
      <alignment horizontal="left" vertical="top" wrapText="1"/>
    </xf>
    <xf numFmtId="164" fontId="8" fillId="0" borderId="1" xfId="1" applyNumberFormat="1" applyFont="1" applyBorder="1" applyAlignment="1" applyProtection="1">
      <alignment horizontal="right" vertical="top" wrapText="1"/>
    </xf>
    <xf numFmtId="0" fontId="8" fillId="0" borderId="1" xfId="2" applyFont="1" applyBorder="1" applyAlignment="1" applyProtection="1">
      <alignment horizontal="left" vertical="top" wrapText="1"/>
    </xf>
    <xf numFmtId="164" fontId="8" fillId="0" borderId="1" xfId="2" applyNumberFormat="1" applyFont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1" xfId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/>
    </xf>
    <xf numFmtId="0" fontId="8" fillId="0" borderId="1" xfId="2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/>
    <xf numFmtId="0" fontId="3" fillId="0" borderId="1" xfId="2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center"/>
    </xf>
    <xf numFmtId="0" fontId="2" fillId="0" borderId="0" xfId="1" applyFont="1" applyBorder="1" applyAlignment="1" applyProtection="1">
      <alignment horizontal="center" vertical="top" wrapText="1"/>
    </xf>
    <xf numFmtId="0" fontId="7" fillId="0" borderId="0" xfId="1" applyFont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="60" workbookViewId="0">
      <selection activeCell="C92" sqref="C92"/>
    </sheetView>
  </sheetViews>
  <sheetFormatPr defaultRowHeight="15"/>
  <cols>
    <col min="1" max="1" width="2.140625" style="2" customWidth="1"/>
    <col min="2" max="2" width="6.42578125" style="21" customWidth="1"/>
    <col min="3" max="3" width="44.42578125" style="15" customWidth="1"/>
    <col min="4" max="5" width="12.85546875" style="2" customWidth="1"/>
    <col min="6" max="6" width="13.42578125" style="2" customWidth="1"/>
    <col min="7" max="16384" width="9.140625" style="2"/>
  </cols>
  <sheetData>
    <row r="1" spans="1:6" ht="5.25" customHeight="1">
      <c r="A1" s="1"/>
      <c r="B1" s="16"/>
      <c r="C1" s="13"/>
      <c r="D1" s="1"/>
      <c r="E1" s="1"/>
      <c r="F1" s="1"/>
    </row>
    <row r="2" spans="1:6" ht="39" customHeight="1">
      <c r="A2" s="1"/>
      <c r="B2" s="26" t="s">
        <v>124</v>
      </c>
      <c r="C2" s="26"/>
      <c r="D2" s="26"/>
      <c r="E2" s="26"/>
      <c r="F2" s="26"/>
    </row>
    <row r="3" spans="1:6" ht="7.5" customHeight="1">
      <c r="A3" s="1"/>
      <c r="B3" s="26"/>
      <c r="C3" s="26"/>
      <c r="D3" s="26"/>
      <c r="E3" s="26"/>
      <c r="F3" s="26"/>
    </row>
    <row r="4" spans="1:6" ht="12.75" customHeight="1">
      <c r="A4" s="1"/>
      <c r="B4" s="27" t="s">
        <v>109</v>
      </c>
      <c r="C4" s="27"/>
      <c r="D4" s="3"/>
      <c r="E4" s="3"/>
      <c r="F4" s="5" t="s">
        <v>110</v>
      </c>
    </row>
    <row r="5" spans="1:6" ht="18.75" customHeight="1">
      <c r="A5" s="1"/>
      <c r="B5" s="28" t="s">
        <v>1</v>
      </c>
      <c r="C5" s="28" t="s">
        <v>2</v>
      </c>
      <c r="D5" s="28" t="s">
        <v>79</v>
      </c>
      <c r="E5" s="28" t="s">
        <v>78</v>
      </c>
      <c r="F5" s="28" t="s">
        <v>3</v>
      </c>
    </row>
    <row r="6" spans="1:6" ht="24" customHeight="1">
      <c r="A6" s="1"/>
      <c r="B6" s="28"/>
      <c r="C6" s="28"/>
      <c r="D6" s="28"/>
      <c r="E6" s="28"/>
      <c r="F6" s="28"/>
    </row>
    <row r="7" spans="1:6" ht="18.75" customHeight="1">
      <c r="A7" s="1"/>
      <c r="B7" s="6"/>
      <c r="C7" s="30" t="s">
        <v>0</v>
      </c>
      <c r="D7" s="30"/>
      <c r="E7" s="30"/>
      <c r="F7" s="6"/>
    </row>
    <row r="8" spans="1:6" ht="18.75">
      <c r="A8" s="1"/>
      <c r="B8" s="17" t="s">
        <v>4</v>
      </c>
      <c r="C8" s="9" t="s">
        <v>80</v>
      </c>
      <c r="D8" s="10">
        <v>18666</v>
      </c>
      <c r="E8" s="10">
        <f>15544133.77/1000</f>
        <v>15544.13377</v>
      </c>
      <c r="F8" s="10">
        <f>E8/D8*100</f>
        <v>83.275119307832426</v>
      </c>
    </row>
    <row r="9" spans="1:6" ht="31.5">
      <c r="A9" s="1"/>
      <c r="B9" s="17" t="s">
        <v>5</v>
      </c>
      <c r="C9" s="9" t="s">
        <v>6</v>
      </c>
      <c r="D9" s="10">
        <v>990</v>
      </c>
      <c r="E9" s="10">
        <f>217024.51/1000</f>
        <v>217.02451000000002</v>
      </c>
      <c r="F9" s="10">
        <f t="shared" ref="F9:F58" si="0">E9/D9*100</f>
        <v>21.921667676767679</v>
      </c>
    </row>
    <row r="10" spans="1:6" ht="18.75">
      <c r="A10" s="1"/>
      <c r="B10" s="17" t="s">
        <v>7</v>
      </c>
      <c r="C10" s="9" t="s">
        <v>8</v>
      </c>
      <c r="D10" s="10">
        <v>10763.7</v>
      </c>
      <c r="E10" s="10">
        <f>9966529/1000</f>
        <v>9966.5290000000005</v>
      </c>
      <c r="F10" s="10">
        <f t="shared" si="0"/>
        <v>92.593894292854685</v>
      </c>
    </row>
    <row r="11" spans="1:6" ht="18.75">
      <c r="A11" s="1"/>
      <c r="B11" s="17" t="s">
        <v>9</v>
      </c>
      <c r="C11" s="9" t="s">
        <v>82</v>
      </c>
      <c r="D11" s="10">
        <v>14447.7</v>
      </c>
      <c r="E11" s="10">
        <f>13323832.68/1000</f>
        <v>13323.83268</v>
      </c>
      <c r="F11" s="10">
        <f t="shared" si="0"/>
        <v>92.221133329180418</v>
      </c>
    </row>
    <row r="12" spans="1:6" ht="18.75">
      <c r="A12" s="1"/>
      <c r="B12" s="17" t="s">
        <v>10</v>
      </c>
      <c r="C12" s="9" t="s">
        <v>83</v>
      </c>
      <c r="D12" s="10">
        <v>36275.599999999999</v>
      </c>
      <c r="E12" s="10">
        <f>33089092.63/1000</f>
        <v>33089.092629999999</v>
      </c>
      <c r="F12" s="10">
        <f t="shared" si="0"/>
        <v>91.21583827696854</v>
      </c>
    </row>
    <row r="13" spans="1:6" ht="18.75">
      <c r="A13" s="1"/>
      <c r="B13" s="17" t="s">
        <v>11</v>
      </c>
      <c r="C13" s="9" t="s">
        <v>86</v>
      </c>
      <c r="D13" s="10">
        <f>90103/1000</f>
        <v>90.102999999999994</v>
      </c>
      <c r="E13" s="10">
        <f>90103/1000</f>
        <v>90.102999999999994</v>
      </c>
      <c r="F13" s="10">
        <f t="shared" si="0"/>
        <v>100</v>
      </c>
    </row>
    <row r="14" spans="1:6" ht="18.75">
      <c r="A14" s="1"/>
      <c r="B14" s="17" t="s">
        <v>12</v>
      </c>
      <c r="C14" s="9" t="s">
        <v>84</v>
      </c>
      <c r="D14" s="10">
        <v>747</v>
      </c>
      <c r="E14" s="10">
        <f>651068.37/1000</f>
        <v>651.06836999999996</v>
      </c>
      <c r="F14" s="10">
        <f t="shared" si="0"/>
        <v>87.157746987951796</v>
      </c>
    </row>
    <row r="15" spans="1:6" ht="31.5">
      <c r="A15" s="1"/>
      <c r="B15" s="17" t="s">
        <v>13</v>
      </c>
      <c r="C15" s="9" t="s">
        <v>14</v>
      </c>
      <c r="D15" s="10">
        <v>2839.7</v>
      </c>
      <c r="E15" s="10">
        <f>2467831.7/1000</f>
        <v>2467.8317000000002</v>
      </c>
      <c r="F15" s="10">
        <f t="shared" si="0"/>
        <v>86.904662464344838</v>
      </c>
    </row>
    <row r="16" spans="1:6" ht="31.5">
      <c r="A16" s="1"/>
      <c r="B16" s="17" t="s">
        <v>15</v>
      </c>
      <c r="C16" s="9" t="s">
        <v>16</v>
      </c>
      <c r="D16" s="10">
        <v>1140.5999999999999</v>
      </c>
      <c r="E16" s="10">
        <f>933937.73/1000</f>
        <v>933.93772999999999</v>
      </c>
      <c r="F16" s="10">
        <f t="shared" si="0"/>
        <v>81.881266877082254</v>
      </c>
    </row>
    <row r="17" spans="1:6" ht="18.75">
      <c r="A17" s="1"/>
      <c r="B17" s="17" t="s">
        <v>17</v>
      </c>
      <c r="C17" s="9" t="s">
        <v>18</v>
      </c>
      <c r="D17" s="10">
        <f>10000/1000</f>
        <v>10</v>
      </c>
      <c r="E17" s="10">
        <v>0</v>
      </c>
      <c r="F17" s="10">
        <f t="shared" si="0"/>
        <v>0</v>
      </c>
    </row>
    <row r="18" spans="1:6" ht="18.75">
      <c r="A18" s="1"/>
      <c r="B18" s="17" t="s">
        <v>19</v>
      </c>
      <c r="C18" s="9" t="s">
        <v>85</v>
      </c>
      <c r="D18" s="10">
        <v>867.2</v>
      </c>
      <c r="E18" s="10">
        <f>484465.16/1000</f>
        <v>484.46515999999997</v>
      </c>
      <c r="F18" s="10">
        <f t="shared" si="0"/>
        <v>55.86544741697417</v>
      </c>
    </row>
    <row r="19" spans="1:6" ht="47.25">
      <c r="A19" s="1"/>
      <c r="B19" s="17" t="s">
        <v>20</v>
      </c>
      <c r="C19" s="9" t="s">
        <v>21</v>
      </c>
      <c r="D19" s="10">
        <v>205.8</v>
      </c>
      <c r="E19" s="10">
        <f>182967.03/1000</f>
        <v>182.96702999999999</v>
      </c>
      <c r="F19" s="10">
        <f t="shared" si="0"/>
        <v>88.905262390670543</v>
      </c>
    </row>
    <row r="20" spans="1:6" ht="18.75">
      <c r="A20" s="1"/>
      <c r="B20" s="17" t="s">
        <v>22</v>
      </c>
      <c r="C20" s="9" t="s">
        <v>87</v>
      </c>
      <c r="D20" s="10">
        <v>66.5</v>
      </c>
      <c r="E20" s="10">
        <f>57778.32/1000</f>
        <v>57.778320000000001</v>
      </c>
      <c r="F20" s="10">
        <f t="shared" si="0"/>
        <v>86.884691729323308</v>
      </c>
    </row>
    <row r="21" spans="1:6" ht="57" customHeight="1">
      <c r="A21" s="1"/>
      <c r="B21" s="17" t="s">
        <v>23</v>
      </c>
      <c r="C21" s="9" t="s">
        <v>107</v>
      </c>
      <c r="D21" s="10">
        <f>234872/1000</f>
        <v>234.87200000000001</v>
      </c>
      <c r="E21" s="10">
        <f>61040.49/1000</f>
        <v>61.040489999999998</v>
      </c>
      <c r="F21" s="10">
        <f t="shared" si="0"/>
        <v>25.988832214993696</v>
      </c>
    </row>
    <row r="22" spans="1:6" ht="31.5">
      <c r="A22" s="1"/>
      <c r="B22" s="17" t="s">
        <v>24</v>
      </c>
      <c r="C22" s="9" t="s">
        <v>25</v>
      </c>
      <c r="D22" s="10">
        <v>3474</v>
      </c>
      <c r="E22" s="10">
        <f>2977121.89/1000</f>
        <v>2977.1218900000003</v>
      </c>
      <c r="F22" s="10">
        <f t="shared" si="0"/>
        <v>85.697233448474393</v>
      </c>
    </row>
    <row r="23" spans="1:6" ht="18.75">
      <c r="A23" s="1"/>
      <c r="B23" s="17" t="s">
        <v>26</v>
      </c>
      <c r="C23" s="9" t="s">
        <v>88</v>
      </c>
      <c r="D23" s="10">
        <v>344.9</v>
      </c>
      <c r="E23" s="10">
        <f>277668.3/1000</f>
        <v>277.66829999999999</v>
      </c>
      <c r="F23" s="10">
        <f t="shared" si="0"/>
        <v>80.506900550884325</v>
      </c>
    </row>
    <row r="24" spans="1:6" ht="31.5">
      <c r="A24" s="1"/>
      <c r="B24" s="17" t="s">
        <v>27</v>
      </c>
      <c r="C24" s="9" t="s">
        <v>28</v>
      </c>
      <c r="D24" s="10">
        <f>464900/1000</f>
        <v>464.9</v>
      </c>
      <c r="E24" s="10">
        <f>464824.14/1000</f>
        <v>464.82414</v>
      </c>
      <c r="F24" s="10">
        <f t="shared" si="0"/>
        <v>99.983682512368262</v>
      </c>
    </row>
    <row r="25" spans="1:6" ht="31.5">
      <c r="A25" s="1"/>
      <c r="B25" s="17" t="s">
        <v>29</v>
      </c>
      <c r="C25" s="9" t="s">
        <v>89</v>
      </c>
      <c r="D25" s="10">
        <v>10.1</v>
      </c>
      <c r="E25" s="10">
        <f>2324.4/1000</f>
        <v>2.3244000000000002</v>
      </c>
      <c r="F25" s="10">
        <f t="shared" si="0"/>
        <v>23.013861386138618</v>
      </c>
    </row>
    <row r="26" spans="1:6" ht="31.5">
      <c r="A26" s="1"/>
      <c r="B26" s="17" t="s">
        <v>30</v>
      </c>
      <c r="C26" s="9" t="s">
        <v>31</v>
      </c>
      <c r="D26" s="10">
        <v>150</v>
      </c>
      <c r="E26" s="10">
        <v>0</v>
      </c>
      <c r="F26" s="10">
        <f t="shared" si="0"/>
        <v>0</v>
      </c>
    </row>
    <row r="27" spans="1:6" ht="31.5">
      <c r="A27" s="1"/>
      <c r="B27" s="17" t="s">
        <v>32</v>
      </c>
      <c r="C27" s="9" t="s">
        <v>90</v>
      </c>
      <c r="D27" s="10">
        <v>180</v>
      </c>
      <c r="E27" s="10">
        <f>100176/1000</f>
        <v>100.176</v>
      </c>
      <c r="F27" s="10">
        <f t="shared" si="0"/>
        <v>55.653333333333336</v>
      </c>
    </row>
    <row r="28" spans="1:6" ht="31.5">
      <c r="A28" s="1"/>
      <c r="B28" s="17" t="s">
        <v>33</v>
      </c>
      <c r="C28" s="9" t="s">
        <v>91</v>
      </c>
      <c r="D28" s="10">
        <v>135</v>
      </c>
      <c r="E28" s="10">
        <f>33030.38/1000</f>
        <v>33.030379999999994</v>
      </c>
      <c r="F28" s="10">
        <f t="shared" si="0"/>
        <v>24.466948148148145</v>
      </c>
    </row>
    <row r="29" spans="1:6" ht="31.5">
      <c r="A29" s="1"/>
      <c r="B29" s="17" t="s">
        <v>34</v>
      </c>
      <c r="C29" s="9" t="s">
        <v>108</v>
      </c>
      <c r="D29" s="10">
        <v>794.2</v>
      </c>
      <c r="E29" s="10">
        <f>617411.59/1000</f>
        <v>617.41158999999993</v>
      </c>
      <c r="F29" s="10">
        <f t="shared" si="0"/>
        <v>77.740064215562825</v>
      </c>
    </row>
    <row r="30" spans="1:6" ht="18.75">
      <c r="A30" s="1"/>
      <c r="B30" s="17" t="s">
        <v>35</v>
      </c>
      <c r="C30" s="9" t="s">
        <v>92</v>
      </c>
      <c r="D30" s="10">
        <v>4383</v>
      </c>
      <c r="E30" s="10">
        <f>3937342.84/1000</f>
        <v>3937.3428399999998</v>
      </c>
      <c r="F30" s="10">
        <f t="shared" si="0"/>
        <v>89.832143280857863</v>
      </c>
    </row>
    <row r="31" spans="1:6" ht="31.5">
      <c r="A31" s="1"/>
      <c r="B31" s="17" t="s">
        <v>36</v>
      </c>
      <c r="C31" s="9" t="s">
        <v>37</v>
      </c>
      <c r="D31" s="10">
        <v>70</v>
      </c>
      <c r="E31" s="10">
        <f>41500/1000</f>
        <v>41.5</v>
      </c>
      <c r="F31" s="10">
        <f t="shared" si="0"/>
        <v>59.285714285714285</v>
      </c>
    </row>
    <row r="32" spans="1:6" ht="31.5">
      <c r="A32" s="1"/>
      <c r="B32" s="17" t="s">
        <v>38</v>
      </c>
      <c r="C32" s="9" t="s">
        <v>39</v>
      </c>
      <c r="D32" s="10">
        <v>435.6</v>
      </c>
      <c r="E32" s="10">
        <f>408391.1/1000</f>
        <v>408.39109999999999</v>
      </c>
      <c r="F32" s="10">
        <f t="shared" si="0"/>
        <v>93.753696051423319</v>
      </c>
    </row>
    <row r="33" spans="1:6" ht="18.75">
      <c r="A33" s="1"/>
      <c r="B33" s="17" t="s">
        <v>40</v>
      </c>
      <c r="C33" s="9" t="s">
        <v>41</v>
      </c>
      <c r="D33" s="10">
        <v>57</v>
      </c>
      <c r="E33" s="10">
        <f>56482.24/1000</f>
        <v>56.482239999999997</v>
      </c>
      <c r="F33" s="10">
        <f t="shared" si="0"/>
        <v>99.091649122807013</v>
      </c>
    </row>
    <row r="34" spans="1:6" ht="18.75">
      <c r="A34" s="1"/>
      <c r="B34" s="17" t="s">
        <v>42</v>
      </c>
      <c r="C34" s="9" t="s">
        <v>93</v>
      </c>
      <c r="D34" s="10">
        <v>220</v>
      </c>
      <c r="E34" s="10">
        <f>24950/1000</f>
        <v>24.95</v>
      </c>
      <c r="F34" s="10">
        <f t="shared" si="0"/>
        <v>11.34090909090909</v>
      </c>
    </row>
    <row r="35" spans="1:6" ht="47.25">
      <c r="A35" s="1"/>
      <c r="B35" s="17" t="s">
        <v>43</v>
      </c>
      <c r="C35" s="9" t="s">
        <v>94</v>
      </c>
      <c r="D35" s="10">
        <v>386.3</v>
      </c>
      <c r="E35" s="10">
        <f>259051.64/1000</f>
        <v>259.05164000000002</v>
      </c>
      <c r="F35" s="10">
        <f t="shared" si="0"/>
        <v>67.059704892570551</v>
      </c>
    </row>
    <row r="36" spans="1:6" ht="31.5">
      <c r="A36" s="1"/>
      <c r="B36" s="17" t="s">
        <v>44</v>
      </c>
      <c r="C36" s="9" t="s">
        <v>95</v>
      </c>
      <c r="D36" s="10">
        <v>38</v>
      </c>
      <c r="E36" s="10">
        <v>0</v>
      </c>
      <c r="F36" s="10">
        <f t="shared" si="0"/>
        <v>0</v>
      </c>
    </row>
    <row r="37" spans="1:6" ht="31.5">
      <c r="A37" s="1"/>
      <c r="B37" s="17" t="s">
        <v>45</v>
      </c>
      <c r="C37" s="9" t="s">
        <v>46</v>
      </c>
      <c r="D37" s="10">
        <v>368.5</v>
      </c>
      <c r="E37" s="10">
        <f>324540.05/1000</f>
        <v>324.54005000000001</v>
      </c>
      <c r="F37" s="10">
        <f t="shared" si="0"/>
        <v>88.070569877883315</v>
      </c>
    </row>
    <row r="38" spans="1:6" ht="31.5">
      <c r="A38" s="1"/>
      <c r="B38" s="17" t="s">
        <v>47</v>
      </c>
      <c r="C38" s="9" t="s">
        <v>96</v>
      </c>
      <c r="D38" s="10">
        <v>40</v>
      </c>
      <c r="E38" s="10">
        <f>20500/1000</f>
        <v>20.5</v>
      </c>
      <c r="F38" s="10">
        <f t="shared" si="0"/>
        <v>51.249999999999993</v>
      </c>
    </row>
    <row r="39" spans="1:6" ht="18.75">
      <c r="A39" s="1"/>
      <c r="B39" s="17" t="s">
        <v>48</v>
      </c>
      <c r="C39" s="9" t="s">
        <v>49</v>
      </c>
      <c r="D39" s="10">
        <v>821.2</v>
      </c>
      <c r="E39" s="10">
        <f>734755.59/1000</f>
        <v>734.75558999999998</v>
      </c>
      <c r="F39" s="10">
        <f t="shared" si="0"/>
        <v>89.473403555772038</v>
      </c>
    </row>
    <row r="40" spans="1:6" ht="18.75">
      <c r="A40" s="1"/>
      <c r="B40" s="17" t="s">
        <v>50</v>
      </c>
      <c r="C40" s="9" t="s">
        <v>97</v>
      </c>
      <c r="D40" s="10">
        <v>391.5</v>
      </c>
      <c r="E40" s="10">
        <f>359277.99/1000</f>
        <v>359.27798999999999</v>
      </c>
      <c r="F40" s="10">
        <f t="shared" si="0"/>
        <v>91.769601532567052</v>
      </c>
    </row>
    <row r="41" spans="1:6" ht="31.5">
      <c r="A41" s="1"/>
      <c r="B41" s="17" t="s">
        <v>51</v>
      </c>
      <c r="C41" s="9" t="s">
        <v>98</v>
      </c>
      <c r="D41" s="10">
        <v>1699</v>
      </c>
      <c r="E41" s="10">
        <f>1526748.1/1000</f>
        <v>1526.7481</v>
      </c>
      <c r="F41" s="10">
        <f t="shared" si="0"/>
        <v>89.861571512654507</v>
      </c>
    </row>
    <row r="42" spans="1:6" ht="36" customHeight="1">
      <c r="A42" s="1"/>
      <c r="B42" s="17" t="s">
        <v>52</v>
      </c>
      <c r="C42" s="9" t="s">
        <v>53</v>
      </c>
      <c r="D42" s="10">
        <v>221</v>
      </c>
      <c r="E42" s="10">
        <f>153181.42/1000</f>
        <v>153.18142</v>
      </c>
      <c r="F42" s="10">
        <f t="shared" si="0"/>
        <v>69.312859728506794</v>
      </c>
    </row>
    <row r="43" spans="1:6" ht="36" customHeight="1">
      <c r="A43" s="1"/>
      <c r="B43" s="17" t="s">
        <v>54</v>
      </c>
      <c r="C43" s="9" t="s">
        <v>55</v>
      </c>
      <c r="D43" s="10">
        <v>1</v>
      </c>
      <c r="E43" s="10">
        <f>800/1000</f>
        <v>0.8</v>
      </c>
      <c r="F43" s="10">
        <f t="shared" si="0"/>
        <v>80</v>
      </c>
    </row>
    <row r="44" spans="1:6" ht="18.75">
      <c r="A44" s="1"/>
      <c r="B44" s="17" t="s">
        <v>56</v>
      </c>
      <c r="C44" s="9" t="s">
        <v>99</v>
      </c>
      <c r="D44" s="10">
        <v>1142.8</v>
      </c>
      <c r="E44" s="10">
        <f>994663.87/1000</f>
        <v>994.66386999999997</v>
      </c>
      <c r="F44" s="10">
        <f t="shared" si="0"/>
        <v>87.037440497024861</v>
      </c>
    </row>
    <row r="45" spans="1:6" ht="31.5">
      <c r="A45" s="1"/>
      <c r="B45" s="17" t="s">
        <v>57</v>
      </c>
      <c r="C45" s="9" t="s">
        <v>58</v>
      </c>
      <c r="D45" s="10">
        <v>981</v>
      </c>
      <c r="E45" s="10">
        <f>846169.38/1000</f>
        <v>846.16938000000005</v>
      </c>
      <c r="F45" s="10">
        <f t="shared" si="0"/>
        <v>86.25579816513762</v>
      </c>
    </row>
    <row r="46" spans="1:6" ht="18.75">
      <c r="A46" s="1"/>
      <c r="B46" s="17" t="s">
        <v>59</v>
      </c>
      <c r="C46" s="9" t="s">
        <v>100</v>
      </c>
      <c r="D46" s="10">
        <v>549.1</v>
      </c>
      <c r="E46" s="10">
        <f>420000/1000</f>
        <v>420</v>
      </c>
      <c r="F46" s="10">
        <f t="shared" si="0"/>
        <v>76.488799854307047</v>
      </c>
    </row>
    <row r="47" spans="1:6" ht="18.75">
      <c r="A47" s="1"/>
      <c r="B47" s="17" t="s">
        <v>60</v>
      </c>
      <c r="C47" s="9" t="s">
        <v>101</v>
      </c>
      <c r="D47" s="10">
        <v>160</v>
      </c>
      <c r="E47" s="10">
        <f>93834/1000</f>
        <v>93.834000000000003</v>
      </c>
      <c r="F47" s="10">
        <f t="shared" si="0"/>
        <v>58.646250000000002</v>
      </c>
    </row>
    <row r="48" spans="1:6" ht="18.75">
      <c r="A48" s="1"/>
      <c r="B48" s="17" t="s">
        <v>61</v>
      </c>
      <c r="C48" s="9" t="s">
        <v>102</v>
      </c>
      <c r="D48" s="10">
        <v>2080</v>
      </c>
      <c r="E48" s="10">
        <f>1783465.75/1000</f>
        <v>1783.4657500000001</v>
      </c>
      <c r="F48" s="10">
        <f t="shared" si="0"/>
        <v>85.743545673076923</v>
      </c>
    </row>
    <row r="49" spans="1:6" ht="18.75">
      <c r="A49" s="1"/>
      <c r="B49" s="17" t="s">
        <v>62</v>
      </c>
      <c r="C49" s="9" t="s">
        <v>103</v>
      </c>
      <c r="D49" s="10">
        <v>6200</v>
      </c>
      <c r="E49" s="10">
        <f>5408659.4/1000</f>
        <v>5408.6594000000005</v>
      </c>
      <c r="F49" s="10">
        <f t="shared" si="0"/>
        <v>87.236441935483882</v>
      </c>
    </row>
    <row r="50" spans="1:6" ht="18.75">
      <c r="A50" s="1"/>
      <c r="B50" s="17" t="s">
        <v>64</v>
      </c>
      <c r="C50" s="9" t="s">
        <v>65</v>
      </c>
      <c r="D50" s="10">
        <f>1259163/1000</f>
        <v>1259.163</v>
      </c>
      <c r="E50" s="10">
        <f>407111.85/1000</f>
        <v>407.11185</v>
      </c>
      <c r="F50" s="10">
        <f t="shared" si="0"/>
        <v>32.331941932855393</v>
      </c>
    </row>
    <row r="51" spans="1:6" ht="17.25" customHeight="1">
      <c r="A51" s="1"/>
      <c r="B51" s="17" t="s">
        <v>66</v>
      </c>
      <c r="C51" s="9" t="s">
        <v>104</v>
      </c>
      <c r="D51" s="10">
        <v>500</v>
      </c>
      <c r="E51" s="10">
        <f>173494.2/1000</f>
        <v>173.49420000000001</v>
      </c>
      <c r="F51" s="10">
        <f t="shared" si="0"/>
        <v>34.698840000000004</v>
      </c>
    </row>
    <row r="52" spans="1:6" ht="31.5">
      <c r="A52" s="1"/>
      <c r="B52" s="17" t="s">
        <v>67</v>
      </c>
      <c r="C52" s="9" t="s">
        <v>68</v>
      </c>
      <c r="D52" s="10">
        <v>1134.5</v>
      </c>
      <c r="E52" s="10">
        <f>362870.7/1000</f>
        <v>362.8707</v>
      </c>
      <c r="F52" s="10">
        <f t="shared" si="0"/>
        <v>31.98507712648744</v>
      </c>
    </row>
    <row r="53" spans="1:6" ht="18.75">
      <c r="A53" s="1"/>
      <c r="B53" s="17" t="s">
        <v>69</v>
      </c>
      <c r="C53" s="9" t="s">
        <v>70</v>
      </c>
      <c r="D53" s="10">
        <f>4000/1000</f>
        <v>4</v>
      </c>
      <c r="E53" s="10">
        <v>0</v>
      </c>
      <c r="F53" s="10">
        <f t="shared" si="0"/>
        <v>0</v>
      </c>
    </row>
    <row r="54" spans="1:6" ht="31.5">
      <c r="A54" s="1"/>
      <c r="B54" s="17" t="s">
        <v>71</v>
      </c>
      <c r="C54" s="9" t="s">
        <v>72</v>
      </c>
      <c r="D54" s="10">
        <f>45809/1000</f>
        <v>45.808999999999997</v>
      </c>
      <c r="E54" s="10">
        <f>45809/1000</f>
        <v>45.808999999999997</v>
      </c>
      <c r="F54" s="10">
        <f t="shared" si="0"/>
        <v>100</v>
      </c>
    </row>
    <row r="55" spans="1:6" ht="31.5">
      <c r="A55" s="1"/>
      <c r="B55" s="17" t="s">
        <v>73</v>
      </c>
      <c r="C55" s="9" t="s">
        <v>105</v>
      </c>
      <c r="D55" s="10">
        <v>46.2</v>
      </c>
      <c r="E55" s="10">
        <f>6748.79/1000</f>
        <v>6.7487899999999996</v>
      </c>
      <c r="F55" s="10">
        <f t="shared" si="0"/>
        <v>14.607770562770561</v>
      </c>
    </row>
    <row r="56" spans="1:6" ht="31.5">
      <c r="A56" s="1"/>
      <c r="B56" s="17" t="s">
        <v>74</v>
      </c>
      <c r="C56" s="9" t="s">
        <v>75</v>
      </c>
      <c r="D56" s="10">
        <v>110</v>
      </c>
      <c r="E56" s="10">
        <f>109667.16/1000</f>
        <v>109.66716000000001</v>
      </c>
      <c r="F56" s="10">
        <f t="shared" si="0"/>
        <v>99.697418181818193</v>
      </c>
    </row>
    <row r="57" spans="1:6" ht="18.75">
      <c r="A57" s="1"/>
      <c r="B57" s="17" t="s">
        <v>76</v>
      </c>
      <c r="C57" s="9" t="s">
        <v>106</v>
      </c>
      <c r="D57" s="10">
        <v>175</v>
      </c>
      <c r="E57" s="10">
        <f>152806.86/1000</f>
        <v>152.80685999999997</v>
      </c>
      <c r="F57" s="10">
        <f t="shared" si="0"/>
        <v>87.318205714285696</v>
      </c>
    </row>
    <row r="58" spans="1:6" ht="18.75">
      <c r="A58" s="1"/>
      <c r="B58" s="29" t="s">
        <v>77</v>
      </c>
      <c r="C58" s="29"/>
      <c r="D58" s="10">
        <f>D57+D56+D55+D54+D53+D52+D51+D50+D49+D48+D47+D46+D45+D44+D43+D42+D41+D40+D39+D38+D37+D36+D35+D34+D33+D32+D31+D30+D29+D28+D27+D26+D25+D24+D23+D22+D21+D20+D19+D18+D17+D16+D15+D14+D13+D12+D11+D10+D9+D8</f>
        <v>116417.54699999999</v>
      </c>
      <c r="E58" s="10">
        <f>E57+E56+E55+E54+E53+E52+E51+E50+E49+E48+E47+E46+E45+E44+E43+E42+E41+E40+E39+E38+E37+E36+E35+E34+E33+E32+E31+E30+E29+E28+E27+E26+E25+E24+E23+E22+E21+E20+E19+E18+E17+E16+E15+E14+E13+E12+E11+E10+E9+E8</f>
        <v>100195.18302000001</v>
      </c>
      <c r="F58" s="10">
        <f t="shared" si="0"/>
        <v>86.065361796362211</v>
      </c>
    </row>
    <row r="59" spans="1:6" ht="18.75">
      <c r="B59" s="18"/>
      <c r="C59" s="25" t="s">
        <v>116</v>
      </c>
      <c r="D59" s="25"/>
      <c r="E59" s="25"/>
      <c r="F59" s="7"/>
    </row>
    <row r="60" spans="1:6" ht="15.75">
      <c r="B60" s="19" t="s">
        <v>4</v>
      </c>
      <c r="C60" s="11" t="s">
        <v>80</v>
      </c>
      <c r="D60" s="12">
        <f>2130221/1000</f>
        <v>2130.221</v>
      </c>
      <c r="E60" s="12">
        <f>2018700/1000</f>
        <v>2018.7</v>
      </c>
      <c r="F60" s="12">
        <v>0.94764815481586184</v>
      </c>
    </row>
    <row r="61" spans="1:6" ht="15.75">
      <c r="B61" s="19" t="s">
        <v>7</v>
      </c>
      <c r="C61" s="11" t="s">
        <v>8</v>
      </c>
      <c r="D61" s="12">
        <f>454400/1000</f>
        <v>454.4</v>
      </c>
      <c r="E61" s="12">
        <f>438590.62/1000</f>
        <v>438.59062</v>
      </c>
      <c r="F61" s="12">
        <v>0.96520823063380279</v>
      </c>
    </row>
    <row r="62" spans="1:6" ht="15.75">
      <c r="B62" s="19" t="s">
        <v>9</v>
      </c>
      <c r="C62" s="11" t="s">
        <v>81</v>
      </c>
      <c r="D62" s="12">
        <f>498147/1000</f>
        <v>498.14699999999999</v>
      </c>
      <c r="E62" s="12">
        <f>61054.88/1000</f>
        <v>61.054879999999997</v>
      </c>
      <c r="F62" s="12">
        <v>0.1225639821177283</v>
      </c>
    </row>
    <row r="63" spans="1:6" ht="31.5">
      <c r="B63" s="19" t="s">
        <v>13</v>
      </c>
      <c r="C63" s="11" t="s">
        <v>14</v>
      </c>
      <c r="D63" s="12">
        <f>59000/1000</f>
        <v>59</v>
      </c>
      <c r="E63" s="12">
        <f>58990/1000</f>
        <v>58.99</v>
      </c>
      <c r="F63" s="12">
        <v>0.99983050847457622</v>
      </c>
    </row>
    <row r="64" spans="1:6" ht="31.5">
      <c r="B64" s="19" t="s">
        <v>111</v>
      </c>
      <c r="C64" s="11" t="s">
        <v>117</v>
      </c>
      <c r="D64" s="12">
        <f>64460/1000</f>
        <v>64.459999999999994</v>
      </c>
      <c r="E64" s="12">
        <v>0</v>
      </c>
      <c r="F64" s="12">
        <v>0</v>
      </c>
    </row>
    <row r="65" spans="2:6" ht="48.75" customHeight="1">
      <c r="B65" s="19" t="s">
        <v>112</v>
      </c>
      <c r="C65" s="11" t="s">
        <v>118</v>
      </c>
      <c r="D65" s="12">
        <f>644553/1000</f>
        <v>644.553</v>
      </c>
      <c r="E65" s="12">
        <v>0</v>
      </c>
      <c r="F65" s="12">
        <v>0</v>
      </c>
    </row>
    <row r="66" spans="2:6" ht="47.25">
      <c r="B66" s="19" t="s">
        <v>22</v>
      </c>
      <c r="C66" s="11" t="s">
        <v>119</v>
      </c>
      <c r="D66" s="12">
        <f>19850/1000</f>
        <v>19.850000000000001</v>
      </c>
      <c r="E66" s="12">
        <v>0</v>
      </c>
      <c r="F66" s="12">
        <v>0</v>
      </c>
    </row>
    <row r="67" spans="2:6" ht="31.5">
      <c r="B67" s="19" t="s">
        <v>24</v>
      </c>
      <c r="C67" s="11" t="s">
        <v>25</v>
      </c>
      <c r="D67" s="12">
        <f>6529900/1000</f>
        <v>6529.9</v>
      </c>
      <c r="E67" s="12">
        <f>4580123.83/1000</f>
        <v>4580.1238300000005</v>
      </c>
      <c r="F67" s="12">
        <v>0.70140795877425388</v>
      </c>
    </row>
    <row r="68" spans="2:6" ht="15.75">
      <c r="B68" s="19" t="s">
        <v>35</v>
      </c>
      <c r="C68" s="11" t="s">
        <v>92</v>
      </c>
      <c r="D68" s="12">
        <f>36063/1000</f>
        <v>36.063000000000002</v>
      </c>
      <c r="E68" s="12">
        <f>36062.16/1000</f>
        <v>36.062160000000006</v>
      </c>
      <c r="F68" s="12">
        <v>0.99997670742866662</v>
      </c>
    </row>
    <row r="69" spans="2:6" ht="15.75">
      <c r="B69" s="19" t="s">
        <v>48</v>
      </c>
      <c r="C69" s="11" t="s">
        <v>49</v>
      </c>
      <c r="D69" s="12">
        <f>13600/1000</f>
        <v>13.6</v>
      </c>
      <c r="E69" s="12">
        <f>13092.2/1000</f>
        <v>13.0922</v>
      </c>
      <c r="F69" s="12">
        <v>0.96266176470588238</v>
      </c>
    </row>
    <row r="70" spans="2:6" ht="15.75">
      <c r="B70" s="19" t="s">
        <v>56</v>
      </c>
      <c r="C70" s="11" t="s">
        <v>99</v>
      </c>
      <c r="D70" s="12">
        <f>391082/1000</f>
        <v>391.08199999999999</v>
      </c>
      <c r="E70" s="12">
        <f>47560/1000</f>
        <v>47.56</v>
      </c>
      <c r="F70" s="12">
        <v>0.12161132447926522</v>
      </c>
    </row>
    <row r="71" spans="2:6" ht="15.75">
      <c r="B71" s="19" t="s">
        <v>59</v>
      </c>
      <c r="C71" s="11" t="s">
        <v>100</v>
      </c>
      <c r="D71" s="12">
        <f>257687/1000</f>
        <v>257.68700000000001</v>
      </c>
      <c r="E71" s="12">
        <f>257686.22/1000</f>
        <v>257.68621999999999</v>
      </c>
      <c r="F71" s="12">
        <v>0.99999697307198265</v>
      </c>
    </row>
    <row r="72" spans="2:6" ht="15.75">
      <c r="B72" s="19" t="s">
        <v>61</v>
      </c>
      <c r="C72" s="11" t="s">
        <v>102</v>
      </c>
      <c r="D72" s="12">
        <f>80000/1000</f>
        <v>80</v>
      </c>
      <c r="E72" s="12">
        <f>80000/1000</f>
        <v>80</v>
      </c>
      <c r="F72" s="12">
        <v>1</v>
      </c>
    </row>
    <row r="73" spans="2:6" ht="22.5" customHeight="1">
      <c r="B73" s="19" t="s">
        <v>62</v>
      </c>
      <c r="C73" s="11" t="s">
        <v>63</v>
      </c>
      <c r="D73" s="12">
        <f>219500/1000</f>
        <v>219.5</v>
      </c>
      <c r="E73" s="12">
        <f>89000/1000</f>
        <v>89</v>
      </c>
      <c r="F73" s="12">
        <v>0.40546697038724372</v>
      </c>
    </row>
    <row r="74" spans="2:6" ht="31.5">
      <c r="B74" s="19" t="s">
        <v>113</v>
      </c>
      <c r="C74" s="11" t="s">
        <v>121</v>
      </c>
      <c r="D74" s="12">
        <f>1113214/1000</f>
        <v>1113.2139999999999</v>
      </c>
      <c r="E74" s="12">
        <v>0</v>
      </c>
      <c r="F74" s="12">
        <v>0</v>
      </c>
    </row>
    <row r="75" spans="2:6" ht="21.75" customHeight="1">
      <c r="B75" s="19" t="s">
        <v>66</v>
      </c>
      <c r="C75" s="11" t="s">
        <v>120</v>
      </c>
      <c r="D75" s="12">
        <f>118000/1000</f>
        <v>118</v>
      </c>
      <c r="E75" s="12">
        <f>118000/1000</f>
        <v>118</v>
      </c>
      <c r="F75" s="12">
        <v>1</v>
      </c>
    </row>
    <row r="76" spans="2:6" ht="31.5">
      <c r="B76" s="19" t="s">
        <v>67</v>
      </c>
      <c r="C76" s="11" t="s">
        <v>68</v>
      </c>
      <c r="D76" s="12">
        <f>165000/1000</f>
        <v>165</v>
      </c>
      <c r="E76" s="12">
        <f>82824/1000</f>
        <v>82.823999999999998</v>
      </c>
      <c r="F76" s="12">
        <v>0.50196363636363639</v>
      </c>
    </row>
    <row r="77" spans="2:6" ht="31.5">
      <c r="B77" s="19" t="s">
        <v>114</v>
      </c>
      <c r="C77" s="11" t="s">
        <v>115</v>
      </c>
      <c r="D77" s="12">
        <f>19792/1000</f>
        <v>19.792000000000002</v>
      </c>
      <c r="E77" s="12">
        <v>0</v>
      </c>
      <c r="F77" s="12">
        <v>0</v>
      </c>
    </row>
    <row r="78" spans="2:6" ht="15.75">
      <c r="B78" s="24" t="s">
        <v>77</v>
      </c>
      <c r="C78" s="24"/>
      <c r="D78" s="8">
        <f>D77+D76+D75+D74+D73+D72+D71+D70+D69+D68+D67+D66+D65+D64+D63+D62+D61+D60</f>
        <v>12814.468999999999</v>
      </c>
      <c r="E78" s="8">
        <f>E77+E76+E75+E74+E73+E72+E71+E70+E69+E68+E67+E66+E65+E64+E63+E62+E61+E60</f>
        <v>7881.6839099999997</v>
      </c>
      <c r="F78" s="8">
        <v>0.61506129594601233</v>
      </c>
    </row>
    <row r="79" spans="2:6" ht="18.75">
      <c r="B79" s="20"/>
      <c r="C79" s="14" t="s">
        <v>122</v>
      </c>
      <c r="D79" s="4">
        <f>D78+D58</f>
        <v>129232.01599999999</v>
      </c>
      <c r="E79" s="4">
        <f t="shared" ref="E79" si="1">E78+E58</f>
        <v>108076.86693000002</v>
      </c>
      <c r="F79" s="4">
        <f>E79/D79*100</f>
        <v>83.630102102562603</v>
      </c>
    </row>
    <row r="81" spans="2:6" ht="15" customHeight="1">
      <c r="B81" s="22" t="s">
        <v>123</v>
      </c>
      <c r="C81" s="23"/>
      <c r="D81" s="23"/>
      <c r="E81" s="23"/>
      <c r="F81" s="23"/>
    </row>
  </sheetData>
  <mergeCells count="13">
    <mergeCell ref="B81:F81"/>
    <mergeCell ref="B78:C78"/>
    <mergeCell ref="C59:E59"/>
    <mergeCell ref="B2:F2"/>
    <mergeCell ref="B3:F3"/>
    <mergeCell ref="B4:C4"/>
    <mergeCell ref="F5:F6"/>
    <mergeCell ref="B58:C58"/>
    <mergeCell ref="C5:C6"/>
    <mergeCell ref="B5:B6"/>
    <mergeCell ref="D5:D6"/>
    <mergeCell ref="E5:E6"/>
    <mergeCell ref="C7:E7"/>
  </mergeCells>
  <pageMargins left="0.7" right="0.44" top="0.47" bottom="0.34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2021-07-28T08:24:21Z</cp:lastPrinted>
  <dcterms:created xsi:type="dcterms:W3CDTF">2021-07-15T05:14:34Z</dcterms:created>
  <dcterms:modified xsi:type="dcterms:W3CDTF">2021-07-29T10:25:25Z</dcterms:modified>
</cp:coreProperties>
</file>