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6045"/>
  </bookViews>
  <sheets>
    <sheet name="Лист1" sheetId="1" r:id="rId1"/>
  </sheets>
  <definedNames>
    <definedName name="_xlnm.Print_Area" localSheetId="0">Лист1!$A$1:$E$96</definedName>
  </definedNames>
  <calcPr calcId="125725"/>
</workbook>
</file>

<file path=xl/calcChain.xml><?xml version="1.0" encoding="utf-8"?>
<calcChain xmlns="http://schemas.openxmlformats.org/spreadsheetml/2006/main">
  <c r="E92" i="1"/>
  <c r="C92"/>
  <c r="E91"/>
  <c r="C91"/>
  <c r="D90"/>
  <c r="C90"/>
  <c r="D89"/>
  <c r="E89" s="1"/>
  <c r="C89"/>
  <c r="D88"/>
  <c r="C88"/>
  <c r="D87"/>
  <c r="E87" s="1"/>
  <c r="C87"/>
  <c r="D86"/>
  <c r="C86"/>
  <c r="D85"/>
  <c r="E85" s="1"/>
  <c r="C85"/>
  <c r="D84"/>
  <c r="C84"/>
  <c r="D83"/>
  <c r="E83" s="1"/>
  <c r="C83"/>
  <c r="D82"/>
  <c r="C82"/>
  <c r="E82" s="1"/>
  <c r="D81"/>
  <c r="C81"/>
  <c r="D80"/>
  <c r="C80"/>
  <c r="E80" s="1"/>
  <c r="D79"/>
  <c r="C79"/>
  <c r="D78"/>
  <c r="E78" s="1"/>
  <c r="C78"/>
  <c r="D77"/>
  <c r="E77" s="1"/>
  <c r="C77"/>
  <c r="D76"/>
  <c r="C76"/>
  <c r="D75"/>
  <c r="E75" s="1"/>
  <c r="C75"/>
  <c r="D74"/>
  <c r="C74"/>
  <c r="E74" s="1"/>
  <c r="D73"/>
  <c r="C73"/>
  <c r="D72"/>
  <c r="C72"/>
  <c r="E72" s="1"/>
  <c r="E52"/>
  <c r="E54"/>
  <c r="E62"/>
  <c r="E64"/>
  <c r="E66"/>
  <c r="D69"/>
  <c r="E69" s="1"/>
  <c r="D68"/>
  <c r="E68" s="1"/>
  <c r="D67"/>
  <c r="D66"/>
  <c r="D65"/>
  <c r="E65" s="1"/>
  <c r="D64"/>
  <c r="D63"/>
  <c r="E63" s="1"/>
  <c r="D62"/>
  <c r="D61"/>
  <c r="E61" s="1"/>
  <c r="D60"/>
  <c r="D59"/>
  <c r="E59" s="1"/>
  <c r="D58"/>
  <c r="D57"/>
  <c r="E57" s="1"/>
  <c r="D56"/>
  <c r="D55"/>
  <c r="E55" s="1"/>
  <c r="D54"/>
  <c r="D53"/>
  <c r="E53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8"/>
  <c r="D37"/>
  <c r="E37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2"/>
  <c r="D21"/>
  <c r="E21" s="1"/>
  <c r="D20"/>
  <c r="D19"/>
  <c r="E19" s="1"/>
  <c r="D18"/>
  <c r="D17"/>
  <c r="E17" s="1"/>
  <c r="D16"/>
  <c r="D15"/>
  <c r="E15" s="1"/>
  <c r="D14"/>
  <c r="D13"/>
  <c r="E13" s="1"/>
  <c r="D12"/>
  <c r="D11"/>
  <c r="E11" s="1"/>
  <c r="D10"/>
  <c r="D9"/>
  <c r="E9" s="1"/>
  <c r="D8"/>
  <c r="C44"/>
  <c r="C55"/>
  <c r="C62"/>
  <c r="C68"/>
  <c r="C70" s="1"/>
  <c r="C69"/>
  <c r="C67"/>
  <c r="C66"/>
  <c r="C65"/>
  <c r="C64"/>
  <c r="C63"/>
  <c r="C61"/>
  <c r="C60"/>
  <c r="E60" s="1"/>
  <c r="C59"/>
  <c r="C58"/>
  <c r="E58" s="1"/>
  <c r="C57"/>
  <c r="C56"/>
  <c r="E56" s="1"/>
  <c r="C54"/>
  <c r="C53"/>
  <c r="C52"/>
  <c r="C51"/>
  <c r="C50"/>
  <c r="C49"/>
  <c r="C48"/>
  <c r="C47"/>
  <c r="C46"/>
  <c r="C45"/>
  <c r="C43"/>
  <c r="C42"/>
  <c r="C41"/>
  <c r="C40"/>
  <c r="C39"/>
  <c r="E39" s="1"/>
  <c r="C38"/>
  <c r="E38" s="1"/>
  <c r="C37"/>
  <c r="C36"/>
  <c r="E36" s="1"/>
  <c r="C35"/>
  <c r="C34"/>
  <c r="C33"/>
  <c r="C32"/>
  <c r="C31"/>
  <c r="C30"/>
  <c r="C29"/>
  <c r="C28"/>
  <c r="C27"/>
  <c r="C26"/>
  <c r="C25"/>
  <c r="C24"/>
  <c r="C23"/>
  <c r="E23" s="1"/>
  <c r="C22"/>
  <c r="E22" s="1"/>
  <c r="C21"/>
  <c r="C20"/>
  <c r="E20" s="1"/>
  <c r="C19"/>
  <c r="C18"/>
  <c r="E18" s="1"/>
  <c r="C17"/>
  <c r="C16"/>
  <c r="E16" s="1"/>
  <c r="C15"/>
  <c r="C14"/>
  <c r="E14" s="1"/>
  <c r="C13"/>
  <c r="C12"/>
  <c r="E12" s="1"/>
  <c r="C11"/>
  <c r="C10"/>
  <c r="E10" s="1"/>
  <c r="C9"/>
  <c r="C8"/>
  <c r="E8" s="1"/>
  <c r="D70" l="1"/>
  <c r="E70" s="1"/>
  <c r="E73"/>
  <c r="E76"/>
  <c r="E79"/>
  <c r="E81"/>
  <c r="E84"/>
  <c r="E86"/>
  <c r="E88"/>
  <c r="E90"/>
  <c r="C93"/>
  <c r="C94" s="1"/>
  <c r="D93"/>
  <c r="E93" l="1"/>
  <c r="D94"/>
  <c r="E94" s="1"/>
</calcChain>
</file>

<file path=xl/sharedStrings.xml><?xml version="1.0" encoding="utf-8"?>
<sst xmlns="http://schemas.openxmlformats.org/spreadsheetml/2006/main" count="186" uniqueCount="149">
  <si>
    <t>Загальний фонд</t>
  </si>
  <si>
    <t>Код</t>
  </si>
  <si>
    <t>Найменування</t>
  </si>
  <si>
    <t>% виконання до плану з початку року</t>
  </si>
  <si>
    <t>З початку року</t>
  </si>
  <si>
    <t>0210160</t>
  </si>
  <si>
    <t>0210180</t>
  </si>
  <si>
    <t>Інша діяльність у сфері державного управління</t>
  </si>
  <si>
    <t>0212010</t>
  </si>
  <si>
    <t>Багатопрофільна стаціонарна медична допомога населенню</t>
  </si>
  <si>
    <t>0212111</t>
  </si>
  <si>
    <t>0212144</t>
  </si>
  <si>
    <t>Централізовані заходи з лікування хворих на цукровий та нецукровий діабет</t>
  </si>
  <si>
    <t>0213050</t>
  </si>
  <si>
    <t>Пільгове медичне обслуговування осіб, які постраждали внаслідок Чорнобильської катастрофи</t>
  </si>
  <si>
    <t>0213112</t>
  </si>
  <si>
    <t>Заходи державної політики з питань дітей та їх соціального захисту</t>
  </si>
  <si>
    <t>0213140</t>
  </si>
  <si>
    <t>0216013</t>
  </si>
  <si>
    <t>0216017</t>
  </si>
  <si>
    <t>0216020</t>
  </si>
  <si>
    <t>0216030</t>
  </si>
  <si>
    <t>Організація благоустрою населених пунктів</t>
  </si>
  <si>
    <t>0217130</t>
  </si>
  <si>
    <t>Здійснення  заходів із землеустрою</t>
  </si>
  <si>
    <t>0217461</t>
  </si>
  <si>
    <t>0217520</t>
  </si>
  <si>
    <t>Реалізація Національної програми інформатизації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</si>
  <si>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</si>
  <si>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</si>
  <si>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</si>
  <si>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</si>
  <si>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</si>
  <si>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</si>
  <si>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</si>
  <si>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</si>
  <si>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</si>
  <si>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</si>
  <si>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</si>
  <si>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</si>
  <si>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0610160</t>
  </si>
  <si>
    <t>0611010</t>
  </si>
  <si>
    <t>Надання дошкільної освіти</t>
  </si>
  <si>
    <t>0611021</t>
  </si>
  <si>
    <t xml:space="preserve">Надання загальної середньої освіти закладами загальної середньої освіти </t>
  </si>
  <si>
    <t>0611031</t>
  </si>
  <si>
    <t>Надання загальної середньої освіти закладами загальної середньої освіти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</si>
  <si>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</si>
  <si>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</si>
  <si>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</si>
  <si>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</si>
  <si>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</si>
  <si>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</si>
  <si>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</si>
  <si>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</si>
  <si>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</si>
  <si>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</si>
  <si>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</si>
  <si>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0611182</t>
  </si>
  <si>
    <t>0611200</t>
  </si>
  <si>
    <t>0611210</t>
  </si>
  <si>
    <t>0615031</t>
  </si>
  <si>
    <t>0617520</t>
  </si>
  <si>
    <t>0810160</t>
  </si>
  <si>
    <t>0813031</t>
  </si>
  <si>
    <t>Надання інших пільг окремим категоріям громадян відповідно до законодавства</t>
  </si>
  <si>
    <t>0813032</t>
  </si>
  <si>
    <t>0813033</t>
  </si>
  <si>
    <t>0813035</t>
  </si>
  <si>
    <t>0813104</t>
  </si>
  <si>
    <t>0813121</t>
  </si>
  <si>
    <t xml:space="preserve">Утримання та забезпечення діяльності центрів соціальних служб </t>
  </si>
  <si>
    <t>0813160</t>
  </si>
  <si>
    <t>0813192</t>
  </si>
  <si>
    <t>0813242</t>
  </si>
  <si>
    <t>Інші заходи у сфері соціального захисту і соціального забезпечення</t>
  </si>
  <si>
    <t>0817520</t>
  </si>
  <si>
    <t>1010160</t>
  </si>
  <si>
    <t>1011080</t>
  </si>
  <si>
    <t>Надання спеціальної освіти мистецькими школами</t>
  </si>
  <si>
    <t>1014020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</si>
  <si>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</si>
  <si>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</si>
  <si>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</si>
  <si>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</si>
  <si>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</si>
  <si>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1017520</t>
  </si>
  <si>
    <t>1110160</t>
  </si>
  <si>
    <t>1113133</t>
  </si>
  <si>
    <t>Інші заходи та заклади молодіжної політики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</si>
  <si>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</si>
  <si>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</si>
  <si>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</si>
  <si>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</si>
  <si>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1115041</t>
  </si>
  <si>
    <t>Утримання та фінансова підтримка спортивних споруд</t>
  </si>
  <si>
    <t>1117520</t>
  </si>
  <si>
    <t>3710160</t>
  </si>
  <si>
    <t>3717520</t>
  </si>
  <si>
    <t>Первинна медична допомога населенню</t>
  </si>
  <si>
    <t xml:space="preserve">Оздоровлення та відпочинок дітей </t>
  </si>
  <si>
    <t>Комунсервіс</t>
  </si>
  <si>
    <t>ЖПП</t>
  </si>
  <si>
    <t xml:space="preserve">Міськводоканал </t>
  </si>
  <si>
    <t xml:space="preserve">Утримання та розвиток автомобільних доріг </t>
  </si>
  <si>
    <t>НУШ-ДБ</t>
  </si>
  <si>
    <t>Надання державної підтримки особам з особливими освітніми потребами-ДБ</t>
  </si>
  <si>
    <t>ДЮСШ</t>
  </si>
  <si>
    <t xml:space="preserve">Компенсаційні виплати на пільговий проїзд автомобільним транспортом </t>
  </si>
  <si>
    <t>Надання пільг  з оплати послуг зв`язку</t>
  </si>
  <si>
    <t>Компенсаційні виплати за пільговий проїзд  на залізничному транспорті</t>
  </si>
  <si>
    <t>Тер центр</t>
  </si>
  <si>
    <t>Надання соціальних гарантій фізичним особам, які надають соціальні послуги громадянам похилого віку</t>
  </si>
  <si>
    <t xml:space="preserve">Надання фінансової підтримки громадським об`єднанням  ветеранів </t>
  </si>
  <si>
    <t>Фінансова підтримка фiлармонiй, художніх і музичних колективів</t>
  </si>
  <si>
    <t>Забезпечення діяльності палаців i будинків культури</t>
  </si>
  <si>
    <t>Фінансове управління</t>
  </si>
  <si>
    <t xml:space="preserve">Сектор спорту </t>
  </si>
  <si>
    <t>Керівництво відділу культури</t>
  </si>
  <si>
    <t>Керівництво  управління соціального захисту населення та праці</t>
  </si>
  <si>
    <t>Керівництво  відділу освіти</t>
  </si>
  <si>
    <t>Міськвиконком</t>
  </si>
  <si>
    <t xml:space="preserve"> </t>
  </si>
  <si>
    <t>Виконання видаткової частини бюджету</t>
  </si>
  <si>
    <t>Березанської міської територіальної громади</t>
  </si>
  <si>
    <t>за 9 місяців 2021 року</t>
  </si>
  <si>
    <t>тис грн</t>
  </si>
  <si>
    <t>Надання освіти за рахунок залишку коштів за субвенцієюна надання державної підтримки особам з особливими освітніми потребами</t>
  </si>
  <si>
    <t>Міськводоканал</t>
  </si>
  <si>
    <t>0217350</t>
  </si>
  <si>
    <t xml:space="preserve">Розроблення схем планування та забудови територій </t>
  </si>
  <si>
    <t>0217390</t>
  </si>
  <si>
    <t>Розвиток мережі ЦНАП</t>
  </si>
  <si>
    <t>0611181</t>
  </si>
  <si>
    <t>Співфінансування заходів НУШ</t>
  </si>
  <si>
    <t>Виконання заходів, спрямованих на забезпечення якісної, сучасної та доступної загальної середньої освіти НУШ»</t>
  </si>
  <si>
    <t>Надання освіти за рахунок субвенції з державного бюджетупідтримки особам з особливими освітніми потребами</t>
  </si>
  <si>
    <t>3719750</t>
  </si>
  <si>
    <t>Субвенція з місцевого бюджету на співфінансування інвестиційних проектів</t>
  </si>
  <si>
    <t>3719760</t>
  </si>
  <si>
    <t>Субвенція з місцевого бюджету на реалізацію проектів співробітництва між територіальними громадами</t>
  </si>
  <si>
    <t>Спеціальний фонд</t>
  </si>
  <si>
    <t>Разом загального фонду</t>
  </si>
  <si>
    <t>Разом спеціального фонду</t>
  </si>
  <si>
    <t>ВСЬОГО ВИДАТКИ</t>
  </si>
  <si>
    <t>Начальник фінансового управління</t>
  </si>
  <si>
    <t>Валентина МАТВІЄНКО</t>
  </si>
  <si>
    <t>План</t>
  </si>
  <si>
    <t>Факт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</si>
</sst>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5" fontId="2" fillId="0" borderId="1" xfId="1" applyNumberFormat="1" applyFont="1" applyBorder="1" applyAlignment="1" applyProtection="1">
      <alignment horizontal="right" vertical="top" wrapText="1"/>
    </xf>
    <xf numFmtId="164" fontId="3" fillId="0" borderId="1" xfId="1" applyNumberFormat="1" applyFont="1" applyBorder="1" applyAlignment="1" applyProtection="1">
      <alignment horizontal="right" vertical="top" wrapText="1"/>
      <protection locked="0"/>
    </xf>
    <xf numFmtId="165" fontId="3" fillId="0" borderId="1" xfId="1" applyNumberFormat="1" applyFont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/>
    <xf numFmtId="0" fontId="5" fillId="0" borderId="0" xfId="0" applyFont="1"/>
    <xf numFmtId="0" fontId="3" fillId="0" borderId="0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center" vertical="top" wrapText="1"/>
    </xf>
    <xf numFmtId="0" fontId="2" fillId="0" borderId="1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left" vertical="top" wrapText="1"/>
    </xf>
    <xf numFmtId="164" fontId="2" fillId="0" borderId="1" xfId="1" applyNumberFormat="1" applyFont="1" applyBorder="1" applyAlignment="1" applyProtection="1">
      <alignment horizontal="right" vertical="top" wrapText="1"/>
      <protection locked="0"/>
    </xf>
    <xf numFmtId="0" fontId="2" fillId="0" borderId="1" xfId="1" applyFont="1" applyBorder="1" applyAlignment="1" applyProtection="1">
      <alignment horizontal="left" vertical="top" wrapText="1"/>
    </xf>
    <xf numFmtId="164" fontId="3" fillId="0" borderId="1" xfId="1" applyNumberFormat="1" applyFont="1" applyBorder="1" applyAlignment="1" applyProtection="1">
      <alignment horizontal="right" vertical="top" wrapText="1"/>
    </xf>
    <xf numFmtId="164" fontId="2" fillId="0" borderId="1" xfId="1" applyNumberFormat="1" applyFont="1" applyBorder="1" applyAlignment="1" applyProtection="1">
      <alignment horizontal="right" vertical="top" wrapText="1"/>
    </xf>
    <xf numFmtId="164" fontId="4" fillId="0" borderId="0" xfId="0" applyNumberFormat="1" applyFont="1"/>
    <xf numFmtId="0" fontId="4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2" fillId="0" borderId="1" xfId="1" applyFont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top" wrapText="1"/>
    </xf>
    <xf numFmtId="0" fontId="2" fillId="0" borderId="0" xfId="1" applyFont="1" applyBorder="1" applyAlignment="1" applyProtection="1">
      <alignment horizontal="center" vertical="top" wrapText="1"/>
    </xf>
    <xf numFmtId="0" fontId="3" fillId="0" borderId="0" xfId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>
      <selection activeCell="I10" sqref="I10"/>
    </sheetView>
  </sheetViews>
  <sheetFormatPr defaultRowHeight="15"/>
  <cols>
    <col min="1" max="1" width="10.7109375" style="6" customWidth="1"/>
    <col min="2" max="2" width="54.28515625" style="6" customWidth="1"/>
    <col min="3" max="3" width="13.85546875" style="6" customWidth="1"/>
    <col min="4" max="4" width="13.140625" style="6" bestFit="1" customWidth="1"/>
    <col min="5" max="5" width="12" style="6" customWidth="1"/>
    <col min="6" max="16384" width="9.140625" style="6"/>
  </cols>
  <sheetData>
    <row r="1" spans="1:5" ht="15.75">
      <c r="A1" s="22" t="s">
        <v>123</v>
      </c>
      <c r="B1" s="22"/>
      <c r="C1" s="22"/>
      <c r="D1" s="22"/>
      <c r="E1" s="22"/>
    </row>
    <row r="2" spans="1:5" ht="15.75">
      <c r="A2" s="8"/>
      <c r="B2" s="22" t="s">
        <v>124</v>
      </c>
      <c r="C2" s="22"/>
      <c r="D2" s="22"/>
      <c r="E2" s="8"/>
    </row>
    <row r="3" spans="1:5" ht="15.75">
      <c r="A3" s="22" t="s">
        <v>125</v>
      </c>
      <c r="B3" s="22"/>
      <c r="C3" s="22"/>
      <c r="D3" s="22"/>
      <c r="E3" s="22"/>
    </row>
    <row r="4" spans="1:5" ht="15.75">
      <c r="A4" s="23" t="s">
        <v>122</v>
      </c>
      <c r="B4" s="23"/>
      <c r="C4" s="7"/>
      <c r="D4" s="7"/>
      <c r="E4" s="7" t="s">
        <v>126</v>
      </c>
    </row>
    <row r="5" spans="1:5" s="5" customFormat="1" ht="15.75" customHeight="1">
      <c r="A5" s="20" t="s">
        <v>1</v>
      </c>
      <c r="B5" s="20" t="s">
        <v>2</v>
      </c>
      <c r="C5" s="9" t="s">
        <v>147</v>
      </c>
      <c r="D5" s="9" t="s">
        <v>148</v>
      </c>
      <c r="E5" s="20" t="s">
        <v>3</v>
      </c>
    </row>
    <row r="6" spans="1:5" s="5" customFormat="1" ht="31.5">
      <c r="A6" s="20"/>
      <c r="B6" s="20"/>
      <c r="C6" s="9" t="s">
        <v>4</v>
      </c>
      <c r="D6" s="9" t="s">
        <v>4</v>
      </c>
      <c r="E6" s="20"/>
    </row>
    <row r="7" spans="1:5" s="5" customFormat="1" ht="15.75">
      <c r="A7" s="9"/>
      <c r="B7" s="20" t="s">
        <v>0</v>
      </c>
      <c r="C7" s="20"/>
      <c r="D7" s="20"/>
      <c r="E7" s="9"/>
    </row>
    <row r="8" spans="1:5" s="5" customFormat="1" ht="16.5" customHeight="1">
      <c r="A8" s="10" t="s">
        <v>5</v>
      </c>
      <c r="B8" s="10" t="s">
        <v>121</v>
      </c>
      <c r="C8" s="2">
        <f>17047582.41/1000</f>
        <v>17047.582409999999</v>
      </c>
      <c r="D8" s="2">
        <f>15396203.76/1000</f>
        <v>15396.20376</v>
      </c>
      <c r="E8" s="3">
        <f>D8/C8</f>
        <v>0.90313121178805322</v>
      </c>
    </row>
    <row r="9" spans="1:5" s="5" customFormat="1" ht="16.5" customHeight="1">
      <c r="A9" s="10" t="s">
        <v>6</v>
      </c>
      <c r="B9" s="10" t="s">
        <v>7</v>
      </c>
      <c r="C9" s="2">
        <f>899359/1000</f>
        <v>899.35900000000004</v>
      </c>
      <c r="D9" s="2">
        <f>537127.89/1000</f>
        <v>537.12788999999998</v>
      </c>
      <c r="E9" s="3">
        <f t="shared" ref="E9:E70" si="0">D9/C9</f>
        <v>0.59723413008598336</v>
      </c>
    </row>
    <row r="10" spans="1:5" s="5" customFormat="1" ht="31.5">
      <c r="A10" s="10" t="s">
        <v>8</v>
      </c>
      <c r="B10" s="10" t="s">
        <v>9</v>
      </c>
      <c r="C10" s="2">
        <f>4964192.73/1000</f>
        <v>4964.1927300000007</v>
      </c>
      <c r="D10" s="2">
        <f>3763327.67/1000</f>
        <v>3763.3276700000001</v>
      </c>
      <c r="E10" s="3">
        <f t="shared" si="0"/>
        <v>0.75809459355942443</v>
      </c>
    </row>
    <row r="11" spans="1:5" s="5" customFormat="1" ht="16.5" customHeight="1">
      <c r="A11" s="10" t="s">
        <v>10</v>
      </c>
      <c r="B11" s="10" t="s">
        <v>99</v>
      </c>
      <c r="C11" s="2">
        <f>603559/1000</f>
        <v>603.55899999999997</v>
      </c>
      <c r="D11" s="2">
        <f>365813.18/1000</f>
        <v>365.81317999999999</v>
      </c>
      <c r="E11" s="3">
        <f t="shared" si="0"/>
        <v>0.60609348878899993</v>
      </c>
    </row>
    <row r="12" spans="1:5" s="5" customFormat="1" ht="30" customHeight="1">
      <c r="A12" s="10" t="s">
        <v>11</v>
      </c>
      <c r="B12" s="10" t="s">
        <v>12</v>
      </c>
      <c r="C12" s="2">
        <f>699200/1000</f>
        <v>699.2</v>
      </c>
      <c r="D12" s="2">
        <f>698971.85/1000</f>
        <v>698.97185000000002</v>
      </c>
      <c r="E12" s="3">
        <f t="shared" si="0"/>
        <v>0.99967369851258581</v>
      </c>
    </row>
    <row r="13" spans="1:5" s="5" customFormat="1" ht="30" customHeight="1">
      <c r="A13" s="10" t="s">
        <v>13</v>
      </c>
      <c r="B13" s="10" t="s">
        <v>14</v>
      </c>
      <c r="C13" s="2">
        <f>1270688/1000</f>
        <v>1270.6880000000001</v>
      </c>
      <c r="D13" s="2">
        <f>1234402.04/1000</f>
        <v>1234.4020399999999</v>
      </c>
      <c r="E13" s="3">
        <f t="shared" si="0"/>
        <v>0.97144384774232528</v>
      </c>
    </row>
    <row r="14" spans="1:5" s="5" customFormat="1" ht="30" customHeight="1">
      <c r="A14" s="10" t="s">
        <v>15</v>
      </c>
      <c r="B14" s="10" t="s">
        <v>16</v>
      </c>
      <c r="C14" s="2">
        <f>70000/1000</f>
        <v>70</v>
      </c>
      <c r="D14" s="2">
        <f>41500/1000</f>
        <v>41.5</v>
      </c>
      <c r="E14" s="3">
        <f t="shared" si="0"/>
        <v>0.59285714285714286</v>
      </c>
    </row>
    <row r="15" spans="1:5" s="5" customFormat="1" ht="17.25" customHeight="1">
      <c r="A15" s="10" t="s">
        <v>17</v>
      </c>
      <c r="B15" s="10" t="s">
        <v>100</v>
      </c>
      <c r="C15" s="2">
        <f>500000/1000</f>
        <v>500</v>
      </c>
      <c r="D15" s="2">
        <f>478799/1000</f>
        <v>478.79899999999998</v>
      </c>
      <c r="E15" s="3">
        <f t="shared" si="0"/>
        <v>0.95759799999999995</v>
      </c>
    </row>
    <row r="16" spans="1:5" s="5" customFormat="1" ht="15.75">
      <c r="A16" s="10" t="s">
        <v>18</v>
      </c>
      <c r="B16" s="10" t="s">
        <v>103</v>
      </c>
      <c r="C16" s="2">
        <f>954100/1000</f>
        <v>954.1</v>
      </c>
      <c r="D16" s="2">
        <f>770397.97/1000</f>
        <v>770.39796999999999</v>
      </c>
      <c r="E16" s="3">
        <f t="shared" si="0"/>
        <v>0.80746040247353523</v>
      </c>
    </row>
    <row r="17" spans="1:5" s="5" customFormat="1" ht="15.75">
      <c r="A17" s="10" t="s">
        <v>19</v>
      </c>
      <c r="B17" s="10" t="s">
        <v>102</v>
      </c>
      <c r="C17" s="2">
        <f>160000/1000</f>
        <v>160</v>
      </c>
      <c r="D17" s="2">
        <f>143624.4/1000</f>
        <v>143.62439999999998</v>
      </c>
      <c r="E17" s="3">
        <f t="shared" si="0"/>
        <v>0.89765249999999985</v>
      </c>
    </row>
    <row r="18" spans="1:5" s="5" customFormat="1" ht="15.75">
      <c r="A18" s="10" t="s">
        <v>20</v>
      </c>
      <c r="B18" s="10" t="s">
        <v>101</v>
      </c>
      <c r="C18" s="2">
        <f>4050000/1000</f>
        <v>4050</v>
      </c>
      <c r="D18" s="2">
        <f>3191251.17/1000</f>
        <v>3191.25117</v>
      </c>
      <c r="E18" s="3">
        <f t="shared" si="0"/>
        <v>0.7879632518518519</v>
      </c>
    </row>
    <row r="19" spans="1:5" s="5" customFormat="1" ht="18" customHeight="1">
      <c r="A19" s="10" t="s">
        <v>21</v>
      </c>
      <c r="B19" s="10" t="s">
        <v>22</v>
      </c>
      <c r="C19" s="2">
        <f>9429990/1000</f>
        <v>9429.99</v>
      </c>
      <c r="D19" s="2">
        <f>8867697.6/1000</f>
        <v>8867.6975999999995</v>
      </c>
      <c r="E19" s="3">
        <f t="shared" si="0"/>
        <v>0.94037189859162096</v>
      </c>
    </row>
    <row r="20" spans="1:5" s="5" customFormat="1" ht="18" customHeight="1">
      <c r="A20" s="10" t="s">
        <v>23</v>
      </c>
      <c r="B20" s="10" t="s">
        <v>24</v>
      </c>
      <c r="C20" s="2">
        <f>1663263/1000</f>
        <v>1663.2629999999999</v>
      </c>
      <c r="D20" s="2">
        <f>1287576.67/1000</f>
        <v>1287.5766699999999</v>
      </c>
      <c r="E20" s="3">
        <f t="shared" si="0"/>
        <v>0.77412692400420136</v>
      </c>
    </row>
    <row r="21" spans="1:5" s="5" customFormat="1" ht="18" customHeight="1">
      <c r="A21" s="10" t="s">
        <v>25</v>
      </c>
      <c r="B21" s="10" t="s">
        <v>104</v>
      </c>
      <c r="C21" s="2">
        <f>797500/1000</f>
        <v>797.5</v>
      </c>
      <c r="D21" s="2">
        <f>709848.4/1000</f>
        <v>709.84839999999997</v>
      </c>
      <c r="E21" s="3">
        <f t="shared" si="0"/>
        <v>0.89009203761755484</v>
      </c>
    </row>
    <row r="22" spans="1:5" s="5" customFormat="1" ht="18" customHeight="1">
      <c r="A22" s="10" t="s">
        <v>26</v>
      </c>
      <c r="B22" s="10" t="s">
        <v>27</v>
      </c>
      <c r="C22" s="2">
        <f>1187826/1000</f>
        <v>1187.826</v>
      </c>
      <c r="D22" s="2">
        <f>666336.89/1000</f>
        <v>666.33689000000004</v>
      </c>
      <c r="E22" s="3">
        <f t="shared" si="0"/>
        <v>0.5609718005835872</v>
      </c>
    </row>
    <row r="23" spans="1:5" s="5" customFormat="1" ht="46.5" customHeight="1">
      <c r="A23" s="10" t="s">
        <v>28</v>
      </c>
      <c r="B23" s="10" t="s">
        <v>29</v>
      </c>
      <c r="C23" s="2">
        <f>146970/1000</f>
        <v>146.97</v>
      </c>
      <c r="D23" s="2">
        <v>0</v>
      </c>
      <c r="E23" s="3">
        <f t="shared" si="0"/>
        <v>0</v>
      </c>
    </row>
    <row r="24" spans="1:5" s="5" customFormat="1" ht="15.75">
      <c r="A24" s="10" t="s">
        <v>30</v>
      </c>
      <c r="B24" s="10" t="s">
        <v>31</v>
      </c>
      <c r="C24" s="2">
        <f>8000/1000</f>
        <v>8</v>
      </c>
      <c r="D24" s="2">
        <f>8000/1000</f>
        <v>8</v>
      </c>
      <c r="E24" s="3">
        <f t="shared" si="0"/>
        <v>1</v>
      </c>
    </row>
    <row r="25" spans="1:5" s="5" customFormat="1" ht="31.5">
      <c r="A25" s="10" t="s">
        <v>32</v>
      </c>
      <c r="B25" s="10" t="s">
        <v>33</v>
      </c>
      <c r="C25" s="2">
        <f>69809/1000</f>
        <v>69.808999999999997</v>
      </c>
      <c r="D25" s="2">
        <f>45809/1000</f>
        <v>45.808999999999997</v>
      </c>
      <c r="E25" s="3">
        <f t="shared" si="0"/>
        <v>0.6562047873483362</v>
      </c>
    </row>
    <row r="26" spans="1:5" s="5" customFormat="1" ht="30.75" customHeight="1">
      <c r="A26" s="10" t="s">
        <v>34</v>
      </c>
      <c r="B26" s="10" t="s">
        <v>35</v>
      </c>
      <c r="C26" s="2">
        <f>66191/1000</f>
        <v>66.191000000000003</v>
      </c>
      <c r="D26" s="2">
        <f>6748.79/1000</f>
        <v>6.7487899999999996</v>
      </c>
      <c r="E26" s="3">
        <f t="shared" si="0"/>
        <v>0.10195932981825323</v>
      </c>
    </row>
    <row r="27" spans="1:5" s="5" customFormat="1" ht="18" customHeight="1">
      <c r="A27" s="10" t="s">
        <v>36</v>
      </c>
      <c r="B27" s="10" t="s">
        <v>37</v>
      </c>
      <c r="C27" s="2">
        <f>250000/1000</f>
        <v>250</v>
      </c>
      <c r="D27" s="2">
        <f>229665.76/1000</f>
        <v>229.66576000000001</v>
      </c>
      <c r="E27" s="3">
        <f t="shared" si="0"/>
        <v>0.91866303999999999</v>
      </c>
    </row>
    <row r="28" spans="1:5" s="5" customFormat="1" ht="18" customHeight="1">
      <c r="A28" s="10" t="s">
        <v>38</v>
      </c>
      <c r="B28" s="10" t="s">
        <v>39</v>
      </c>
      <c r="C28" s="2">
        <f>250200/1000</f>
        <v>250.2</v>
      </c>
      <c r="D28" s="2">
        <f>248332.09/1000</f>
        <v>248.33208999999999</v>
      </c>
      <c r="E28" s="3">
        <f t="shared" si="0"/>
        <v>0.99253433253397283</v>
      </c>
    </row>
    <row r="29" spans="1:5" s="5" customFormat="1" ht="15.75">
      <c r="A29" s="10" t="s">
        <v>40</v>
      </c>
      <c r="B29" s="10" t="s">
        <v>120</v>
      </c>
      <c r="C29" s="2">
        <f>709010/1000</f>
        <v>709.01</v>
      </c>
      <c r="D29" s="2">
        <f>675929.6/1000</f>
        <v>675.92959999999994</v>
      </c>
      <c r="E29" s="3">
        <f t="shared" si="0"/>
        <v>0.95334283014343935</v>
      </c>
    </row>
    <row r="30" spans="1:5" s="5" customFormat="1" ht="15.75">
      <c r="A30" s="10" t="s">
        <v>41</v>
      </c>
      <c r="B30" s="10" t="s">
        <v>42</v>
      </c>
      <c r="C30" s="2">
        <f>18039261.44/1000</f>
        <v>18039.261440000002</v>
      </c>
      <c r="D30" s="2">
        <f>15552387.37/1000</f>
        <v>15552.387369999999</v>
      </c>
      <c r="E30" s="3">
        <f t="shared" si="0"/>
        <v>0.86214102621265609</v>
      </c>
    </row>
    <row r="31" spans="1:5" s="5" customFormat="1" ht="30.75" customHeight="1">
      <c r="A31" s="10" t="s">
        <v>43</v>
      </c>
      <c r="B31" s="10" t="s">
        <v>44</v>
      </c>
      <c r="C31" s="2">
        <f>23199674.77/1000</f>
        <v>23199.674769999998</v>
      </c>
      <c r="D31" s="2">
        <f>19084997.47/1000</f>
        <v>19084.997469999998</v>
      </c>
      <c r="E31" s="3">
        <f t="shared" si="0"/>
        <v>0.82264073351059308</v>
      </c>
    </row>
    <row r="32" spans="1:5" s="5" customFormat="1" ht="30.75" customHeight="1">
      <c r="A32" s="10" t="s">
        <v>45</v>
      </c>
      <c r="B32" s="10" t="s">
        <v>44</v>
      </c>
      <c r="C32" s="2">
        <f>46134100/1000</f>
        <v>46134.1</v>
      </c>
      <c r="D32" s="2">
        <f>41242326.15/1000</f>
        <v>41242.326150000001</v>
      </c>
      <c r="E32" s="3">
        <f t="shared" si="0"/>
        <v>0.89396620178999919</v>
      </c>
    </row>
    <row r="33" spans="1:5" s="5" customFormat="1" ht="32.25" customHeight="1">
      <c r="A33" s="10" t="s">
        <v>47</v>
      </c>
      <c r="B33" s="10" t="s">
        <v>46</v>
      </c>
      <c r="C33" s="2">
        <f>90103/1000</f>
        <v>90.102999999999994</v>
      </c>
      <c r="D33" s="2">
        <f>90103/1000</f>
        <v>90.102999999999994</v>
      </c>
      <c r="E33" s="3">
        <f t="shared" si="0"/>
        <v>1</v>
      </c>
    </row>
    <row r="34" spans="1:5" s="5" customFormat="1" ht="34.5" customHeight="1">
      <c r="A34" s="10" t="s">
        <v>48</v>
      </c>
      <c r="B34" s="10" t="s">
        <v>49</v>
      </c>
      <c r="C34" s="2">
        <f>1269062/1000</f>
        <v>1269.0619999999999</v>
      </c>
      <c r="D34" s="2">
        <f>1009971.31/1000</f>
        <v>1009.97131</v>
      </c>
      <c r="E34" s="3">
        <f t="shared" si="0"/>
        <v>0.79584079422439569</v>
      </c>
    </row>
    <row r="35" spans="1:5" s="5" customFormat="1" ht="17.25" customHeight="1">
      <c r="A35" s="10" t="s">
        <v>50</v>
      </c>
      <c r="B35" s="10" t="s">
        <v>51</v>
      </c>
      <c r="C35" s="2">
        <f>1863680/1000</f>
        <v>1863.68</v>
      </c>
      <c r="D35" s="2">
        <f>1721706.12/1000</f>
        <v>1721.7061200000001</v>
      </c>
      <c r="E35" s="3">
        <f t="shared" si="0"/>
        <v>0.92382067736950546</v>
      </c>
    </row>
    <row r="36" spans="1:5" s="5" customFormat="1" ht="17.25" customHeight="1">
      <c r="A36" s="10" t="s">
        <v>52</v>
      </c>
      <c r="B36" s="10" t="s">
        <v>53</v>
      </c>
      <c r="C36" s="2">
        <f>10000/1000</f>
        <v>10</v>
      </c>
      <c r="D36" s="2">
        <v>0</v>
      </c>
      <c r="E36" s="3">
        <f t="shared" si="0"/>
        <v>0</v>
      </c>
    </row>
    <row r="37" spans="1:5" s="5" customFormat="1" ht="31.5" customHeight="1">
      <c r="A37" s="10" t="s">
        <v>54</v>
      </c>
      <c r="B37" s="10" t="s">
        <v>55</v>
      </c>
      <c r="C37" s="2">
        <f>1102915/1000</f>
        <v>1102.915</v>
      </c>
      <c r="D37" s="2">
        <f>867466.44/1000</f>
        <v>867.46643999999992</v>
      </c>
      <c r="E37" s="3">
        <f t="shared" si="0"/>
        <v>0.78652157237865106</v>
      </c>
    </row>
    <row r="38" spans="1:5" s="5" customFormat="1" ht="32.25" customHeight="1">
      <c r="A38" s="10" t="s">
        <v>56</v>
      </c>
      <c r="B38" s="10" t="s">
        <v>57</v>
      </c>
      <c r="C38" s="2">
        <f>321800/1000</f>
        <v>321.8</v>
      </c>
      <c r="D38" s="2">
        <f>315681.31/1000</f>
        <v>315.68131</v>
      </c>
      <c r="E38" s="3">
        <f t="shared" si="0"/>
        <v>0.98098604723430693</v>
      </c>
    </row>
    <row r="39" spans="1:5" s="5" customFormat="1" ht="15.75">
      <c r="A39" s="10" t="s">
        <v>58</v>
      </c>
      <c r="B39" s="10" t="s">
        <v>105</v>
      </c>
      <c r="C39" s="2">
        <f>157006/1000</f>
        <v>157.006</v>
      </c>
      <c r="D39" s="2">
        <v>0</v>
      </c>
      <c r="E39" s="3">
        <f t="shared" si="0"/>
        <v>0</v>
      </c>
    </row>
    <row r="40" spans="1:5" s="5" customFormat="1" ht="31.5" customHeight="1">
      <c r="A40" s="10" t="s">
        <v>59</v>
      </c>
      <c r="B40" s="10" t="s">
        <v>106</v>
      </c>
      <c r="C40" s="2">
        <f>99666/1000</f>
        <v>99.665999999999997</v>
      </c>
      <c r="D40" s="2">
        <f>57778.32/1000</f>
        <v>57.778320000000001</v>
      </c>
      <c r="E40" s="3">
        <f t="shared" si="0"/>
        <v>0.5797194630064415</v>
      </c>
    </row>
    <row r="41" spans="1:5" s="5" customFormat="1" ht="47.25" customHeight="1">
      <c r="A41" s="10" t="s">
        <v>60</v>
      </c>
      <c r="B41" s="10" t="s">
        <v>127</v>
      </c>
      <c r="C41" s="2">
        <f>234872/1000</f>
        <v>234.87200000000001</v>
      </c>
      <c r="D41" s="2">
        <f>85628.24/1000</f>
        <v>85.628240000000005</v>
      </c>
      <c r="E41" s="3">
        <f t="shared" si="0"/>
        <v>0.36457406587417829</v>
      </c>
    </row>
    <row r="42" spans="1:5" s="5" customFormat="1" ht="15.75">
      <c r="A42" s="10" t="s">
        <v>61</v>
      </c>
      <c r="B42" s="10" t="s">
        <v>107</v>
      </c>
      <c r="C42" s="2">
        <f>2160154.79/1000</f>
        <v>2160.15479</v>
      </c>
      <c r="D42" s="2">
        <f>1620749.63/1000</f>
        <v>1620.7496299999998</v>
      </c>
      <c r="E42" s="3">
        <f t="shared" si="0"/>
        <v>0.75029328338086354</v>
      </c>
    </row>
    <row r="43" spans="1:5" s="5" customFormat="1" ht="18" customHeight="1">
      <c r="A43" s="10" t="s">
        <v>62</v>
      </c>
      <c r="B43" s="10" t="s">
        <v>27</v>
      </c>
      <c r="C43" s="2">
        <f>92900/1000</f>
        <v>92.9</v>
      </c>
      <c r="D43" s="2">
        <f>78965/1000</f>
        <v>78.965000000000003</v>
      </c>
      <c r="E43" s="3">
        <f t="shared" si="0"/>
        <v>0.85</v>
      </c>
    </row>
    <row r="44" spans="1:5" s="5" customFormat="1" ht="31.5" customHeight="1">
      <c r="A44" s="10" t="s">
        <v>63</v>
      </c>
      <c r="B44" s="10" t="s">
        <v>119</v>
      </c>
      <c r="C44" s="4">
        <f>7408068/1000</f>
        <v>7408.0680000000002</v>
      </c>
      <c r="D44" s="4">
        <f>6174519.35/1000</f>
        <v>6174.5193499999996</v>
      </c>
      <c r="E44" s="3">
        <f t="shared" si="0"/>
        <v>0.83348578198796219</v>
      </c>
    </row>
    <row r="45" spans="1:5" s="5" customFormat="1" ht="31.5" customHeight="1">
      <c r="A45" s="10" t="s">
        <v>64</v>
      </c>
      <c r="B45" s="10" t="s">
        <v>65</v>
      </c>
      <c r="C45" s="2">
        <f>20100/1000</f>
        <v>20.100000000000001</v>
      </c>
      <c r="D45" s="2">
        <f>7240.68/1000</f>
        <v>7.2406800000000002</v>
      </c>
      <c r="E45" s="3">
        <f t="shared" si="0"/>
        <v>0.36023283582089549</v>
      </c>
    </row>
    <row r="46" spans="1:5" s="5" customFormat="1" ht="16.5" customHeight="1">
      <c r="A46" s="10" t="s">
        <v>66</v>
      </c>
      <c r="B46" s="10" t="s">
        <v>109</v>
      </c>
      <c r="C46" s="2">
        <f>210000/1000</f>
        <v>210</v>
      </c>
      <c r="D46" s="2">
        <f>110135.32/1000</f>
        <v>110.13532000000001</v>
      </c>
      <c r="E46" s="3">
        <f t="shared" si="0"/>
        <v>0.52445390476190479</v>
      </c>
    </row>
    <row r="47" spans="1:5" s="5" customFormat="1" ht="32.25" customHeight="1">
      <c r="A47" s="10" t="s">
        <v>67</v>
      </c>
      <c r="B47" s="10" t="s">
        <v>108</v>
      </c>
      <c r="C47" s="2">
        <f>290000/1000</f>
        <v>290</v>
      </c>
      <c r="D47" s="2">
        <f>203766/1000</f>
        <v>203.76599999999999</v>
      </c>
      <c r="E47" s="3">
        <f t="shared" si="0"/>
        <v>0.70264137931034476</v>
      </c>
    </row>
    <row r="48" spans="1:5" s="5" customFormat="1" ht="32.25" customHeight="1">
      <c r="A48" s="10" t="s">
        <v>68</v>
      </c>
      <c r="B48" s="10" t="s">
        <v>110</v>
      </c>
      <c r="C48" s="2">
        <f>220000/1000</f>
        <v>220</v>
      </c>
      <c r="D48" s="2">
        <f>183714.21/1000</f>
        <v>183.71420999999998</v>
      </c>
      <c r="E48" s="3">
        <f t="shared" si="0"/>
        <v>0.8350645909090908</v>
      </c>
    </row>
    <row r="49" spans="1:5" s="5" customFormat="1" ht="15.75">
      <c r="A49" s="10" t="s">
        <v>69</v>
      </c>
      <c r="B49" s="10" t="s">
        <v>111</v>
      </c>
      <c r="C49" s="2">
        <f>6496000/1000</f>
        <v>6496</v>
      </c>
      <c r="D49" s="2">
        <f>6263920.17/1000</f>
        <v>6263.9201700000003</v>
      </c>
      <c r="E49" s="3">
        <f t="shared" si="0"/>
        <v>0.96427342518472914</v>
      </c>
    </row>
    <row r="50" spans="1:5" s="5" customFormat="1" ht="30" customHeight="1">
      <c r="A50" s="10" t="s">
        <v>70</v>
      </c>
      <c r="B50" s="10" t="s">
        <v>71</v>
      </c>
      <c r="C50" s="2">
        <f>797700/1000</f>
        <v>797.7</v>
      </c>
      <c r="D50" s="2">
        <f>657254.84/1000</f>
        <v>657.25483999999994</v>
      </c>
      <c r="E50" s="3">
        <f t="shared" si="0"/>
        <v>0.82393736993857325</v>
      </c>
    </row>
    <row r="51" spans="1:5" s="5" customFormat="1" ht="31.5" customHeight="1">
      <c r="A51" s="10" t="s">
        <v>72</v>
      </c>
      <c r="B51" s="10" t="s">
        <v>112</v>
      </c>
      <c r="C51" s="2">
        <f>420000/1000</f>
        <v>420</v>
      </c>
      <c r="D51" s="2">
        <f>372310.81/1000</f>
        <v>372.31081</v>
      </c>
      <c r="E51" s="3">
        <f t="shared" si="0"/>
        <v>0.88645430952380955</v>
      </c>
    </row>
    <row r="52" spans="1:5" s="5" customFormat="1" ht="31.5" customHeight="1">
      <c r="A52" s="10" t="s">
        <v>73</v>
      </c>
      <c r="B52" s="10" t="s">
        <v>113</v>
      </c>
      <c r="C52" s="2">
        <f>53000/1000</f>
        <v>53</v>
      </c>
      <c r="D52" s="2">
        <v>0</v>
      </c>
      <c r="E52" s="3">
        <f t="shared" si="0"/>
        <v>0</v>
      </c>
    </row>
    <row r="53" spans="1:5" s="5" customFormat="1" ht="31.5" customHeight="1">
      <c r="A53" s="10" t="s">
        <v>74</v>
      </c>
      <c r="B53" s="10" t="s">
        <v>75</v>
      </c>
      <c r="C53" s="2">
        <f>518520/1000</f>
        <v>518.52</v>
      </c>
      <c r="D53" s="2">
        <f>468049.4/1000</f>
        <v>468.04940000000005</v>
      </c>
      <c r="E53" s="3">
        <f t="shared" si="0"/>
        <v>0.90266412095965454</v>
      </c>
    </row>
    <row r="54" spans="1:5" s="5" customFormat="1" ht="15.75" customHeight="1">
      <c r="A54" s="10" t="s">
        <v>76</v>
      </c>
      <c r="B54" s="10" t="s">
        <v>27</v>
      </c>
      <c r="C54" s="2">
        <f>137700/1000</f>
        <v>137.69999999999999</v>
      </c>
      <c r="D54" s="2">
        <f>123029.9/1000</f>
        <v>123.0299</v>
      </c>
      <c r="E54" s="3">
        <f t="shared" si="0"/>
        <v>0.89346332607116929</v>
      </c>
    </row>
    <row r="55" spans="1:5" s="5" customFormat="1" ht="15.75">
      <c r="A55" s="10" t="s">
        <v>77</v>
      </c>
      <c r="B55" s="10" t="s">
        <v>118</v>
      </c>
      <c r="C55" s="4">
        <f>1504200/1000</f>
        <v>1504.2</v>
      </c>
      <c r="D55" s="4">
        <f>1179338.58/1000</f>
        <v>1179.3385800000001</v>
      </c>
      <c r="E55" s="3">
        <f t="shared" si="0"/>
        <v>0.7840304347826087</v>
      </c>
    </row>
    <row r="56" spans="1:5" s="5" customFormat="1" ht="15.75" customHeight="1">
      <c r="A56" s="10" t="s">
        <v>78</v>
      </c>
      <c r="B56" s="10" t="s">
        <v>79</v>
      </c>
      <c r="C56" s="2">
        <f>3603887/1000</f>
        <v>3603.8870000000002</v>
      </c>
      <c r="D56" s="2">
        <f>3129343.67/1000</f>
        <v>3129.3436699999997</v>
      </c>
      <c r="E56" s="3">
        <f t="shared" si="0"/>
        <v>0.86832458120912215</v>
      </c>
    </row>
    <row r="57" spans="1:5" s="5" customFormat="1" ht="31.5">
      <c r="A57" s="10" t="s">
        <v>80</v>
      </c>
      <c r="B57" s="10" t="s">
        <v>114</v>
      </c>
      <c r="C57" s="2">
        <f>320000/1000</f>
        <v>320</v>
      </c>
      <c r="D57" s="2">
        <f>72420.44/1000</f>
        <v>72.420439999999999</v>
      </c>
      <c r="E57" s="3">
        <f t="shared" si="0"/>
        <v>0.226313875</v>
      </c>
    </row>
    <row r="58" spans="1:5" s="5" customFormat="1" ht="15.75">
      <c r="A58" s="10" t="s">
        <v>81</v>
      </c>
      <c r="B58" s="10" t="s">
        <v>82</v>
      </c>
      <c r="C58" s="2">
        <f>1247399/1000</f>
        <v>1247.3989999999999</v>
      </c>
      <c r="D58" s="2">
        <f>1069183.62/1000</f>
        <v>1069.18362</v>
      </c>
      <c r="E58" s="3">
        <f t="shared" si="0"/>
        <v>0.85713041296329406</v>
      </c>
    </row>
    <row r="59" spans="1:5" s="5" customFormat="1" ht="16.5" customHeight="1">
      <c r="A59" s="10" t="s">
        <v>83</v>
      </c>
      <c r="B59" s="10" t="s">
        <v>84</v>
      </c>
      <c r="C59" s="2">
        <f>545900/1000</f>
        <v>545.9</v>
      </c>
      <c r="D59" s="2">
        <f>464016.7/1000</f>
        <v>464.01670000000001</v>
      </c>
      <c r="E59" s="3">
        <f t="shared" si="0"/>
        <v>0.85000311412346585</v>
      </c>
    </row>
    <row r="60" spans="1:5" s="5" customFormat="1" ht="16.5" customHeight="1">
      <c r="A60" s="10" t="s">
        <v>85</v>
      </c>
      <c r="B60" s="10" t="s">
        <v>115</v>
      </c>
      <c r="C60" s="2">
        <f>2392755/1000</f>
        <v>2392.7550000000001</v>
      </c>
      <c r="D60" s="2">
        <f>2188965.26/1000</f>
        <v>2188.9652599999999</v>
      </c>
      <c r="E60" s="3">
        <f t="shared" si="0"/>
        <v>0.91483050291400492</v>
      </c>
    </row>
    <row r="61" spans="1:5" s="5" customFormat="1" ht="16.5" customHeight="1">
      <c r="A61" s="10" t="s">
        <v>86</v>
      </c>
      <c r="B61" s="10" t="s">
        <v>27</v>
      </c>
      <c r="C61" s="2">
        <f>66130/1000</f>
        <v>66.13</v>
      </c>
      <c r="D61" s="2">
        <f>53595/1000</f>
        <v>53.594999999999999</v>
      </c>
      <c r="E61" s="3">
        <f t="shared" si="0"/>
        <v>0.81044911537879938</v>
      </c>
    </row>
    <row r="62" spans="1:5" s="5" customFormat="1" ht="15.75">
      <c r="A62" s="10" t="s">
        <v>87</v>
      </c>
      <c r="B62" s="10" t="s">
        <v>117</v>
      </c>
      <c r="C62" s="4">
        <f>430000/1000</f>
        <v>430</v>
      </c>
      <c r="D62" s="4">
        <f>357527.84/1000</f>
        <v>357.52784000000003</v>
      </c>
      <c r="E62" s="3">
        <f t="shared" si="0"/>
        <v>0.83146009302325585</v>
      </c>
    </row>
    <row r="63" spans="1:5" s="5" customFormat="1" ht="15.75">
      <c r="A63" s="10" t="s">
        <v>88</v>
      </c>
      <c r="B63" s="10" t="s">
        <v>89</v>
      </c>
      <c r="C63" s="2">
        <f>95000/1000</f>
        <v>95</v>
      </c>
      <c r="D63" s="2">
        <f>83971.34/1000</f>
        <v>83.971339999999998</v>
      </c>
      <c r="E63" s="3">
        <f t="shared" si="0"/>
        <v>0.8839088421052631</v>
      </c>
    </row>
    <row r="64" spans="1:5" s="5" customFormat="1" ht="31.5">
      <c r="A64" s="10" t="s">
        <v>90</v>
      </c>
      <c r="B64" s="10" t="s">
        <v>91</v>
      </c>
      <c r="C64" s="2">
        <f>400000/1000</f>
        <v>400</v>
      </c>
      <c r="D64" s="2">
        <f>279799.73/1000</f>
        <v>279.79972999999995</v>
      </c>
      <c r="E64" s="3">
        <f t="shared" si="0"/>
        <v>0.69949932499999989</v>
      </c>
    </row>
    <row r="65" spans="1:6" s="5" customFormat="1" ht="32.25" customHeight="1">
      <c r="A65" s="10" t="s">
        <v>92</v>
      </c>
      <c r="B65" s="10" t="s">
        <v>93</v>
      </c>
      <c r="C65" s="2">
        <f>3300/1000</f>
        <v>3.3</v>
      </c>
      <c r="D65" s="2">
        <f>1800/1000</f>
        <v>1.8</v>
      </c>
      <c r="E65" s="3">
        <f t="shared" si="0"/>
        <v>0.54545454545454553</v>
      </c>
    </row>
    <row r="66" spans="1:6" s="5" customFormat="1" ht="17.25" customHeight="1">
      <c r="A66" s="10" t="s">
        <v>94</v>
      </c>
      <c r="B66" s="10" t="s">
        <v>95</v>
      </c>
      <c r="C66" s="2">
        <f>1538712/1000</f>
        <v>1538.712</v>
      </c>
      <c r="D66" s="2">
        <f>1286293.77/1000</f>
        <v>1286.29377</v>
      </c>
      <c r="E66" s="3">
        <f t="shared" si="0"/>
        <v>0.83595485704927242</v>
      </c>
    </row>
    <row r="67" spans="1:6" s="5" customFormat="1" ht="18" customHeight="1">
      <c r="A67" s="10" t="s">
        <v>96</v>
      </c>
      <c r="B67" s="10" t="s">
        <v>27</v>
      </c>
      <c r="C67" s="2">
        <f>14435/1000</f>
        <v>14.435</v>
      </c>
      <c r="D67" s="2">
        <f>14435/1000</f>
        <v>14.435</v>
      </c>
      <c r="E67" s="3">
        <v>1</v>
      </c>
    </row>
    <row r="68" spans="1:6" s="5" customFormat="1" ht="15.75">
      <c r="A68" s="10" t="s">
        <v>97</v>
      </c>
      <c r="B68" s="10" t="s">
        <v>116</v>
      </c>
      <c r="C68" s="4">
        <f>1836480/1000</f>
        <v>1836.48</v>
      </c>
      <c r="D68" s="4">
        <f>1625411.94/1000</f>
        <v>1625.41194</v>
      </c>
      <c r="E68" s="3">
        <f t="shared" si="0"/>
        <v>0.8850692302665969</v>
      </c>
    </row>
    <row r="69" spans="1:6" s="5" customFormat="1" ht="17.25" customHeight="1">
      <c r="A69" s="10" t="s">
        <v>98</v>
      </c>
      <c r="B69" s="10" t="s">
        <v>27</v>
      </c>
      <c r="C69" s="2">
        <f>36020/1000</f>
        <v>36.020000000000003</v>
      </c>
      <c r="D69" s="2">
        <f>34589.8/1000</f>
        <v>34.589800000000004</v>
      </c>
      <c r="E69" s="3">
        <f t="shared" si="0"/>
        <v>0.960294280955025</v>
      </c>
    </row>
    <row r="70" spans="1:6" s="5" customFormat="1" ht="15.75">
      <c r="A70" s="19" t="s">
        <v>142</v>
      </c>
      <c r="B70" s="19"/>
      <c r="C70" s="11">
        <f>C69+C68+C67+C66+C65+C64+C63+C62+C61+C60+C59+C58+C57+C56+C55+C54+C53+C52+C51+C50+C49+C48+C47+C46+C45+C44+C43+C42+C41+C40+C39+C38+C37+C36+C35+C34+C33+C32+C31+C30+C29+C28+C27+C26+C25+C24+C23+C22+C21+C20+C19+C18+C17+C16+C15+C14+C13+C12+C11+C10+C9+C8</f>
        <v>171177.94114000004</v>
      </c>
      <c r="D70" s="11">
        <f>D69+D68+D67+D66+D65+D64+D63+D62+D61+D60+D59+D58+D57+D56+D55+D54+D53+D52+D51+D50+D49+D48+D47+D46+D45+D44+D43+D42+D41+D40+D39+D38+D37+D36+D35+D34+D33+D32+D31+D30+D29+D28+D27+D26+D25+D24+D23+D22+D21+D20+D19+D18+D17+D16+D15+D14+D13+D12+D11+D10+D9+D8</f>
        <v>147499.75746000002</v>
      </c>
      <c r="E70" s="1">
        <f t="shared" si="0"/>
        <v>0.86167502937405638</v>
      </c>
      <c r="F70" s="15"/>
    </row>
    <row r="71" spans="1:6" s="5" customFormat="1" ht="15.75">
      <c r="A71" s="12"/>
      <c r="B71" s="21" t="s">
        <v>141</v>
      </c>
      <c r="C71" s="21"/>
      <c r="D71" s="21"/>
      <c r="E71" s="1"/>
    </row>
    <row r="72" spans="1:6" s="5" customFormat="1" ht="15.75">
      <c r="A72" s="10" t="s">
        <v>5</v>
      </c>
      <c r="B72" s="10" t="s">
        <v>121</v>
      </c>
      <c r="C72" s="13">
        <f>2068400/1000</f>
        <v>2068.4</v>
      </c>
      <c r="D72" s="13">
        <f>2018700/1000</f>
        <v>2018.7</v>
      </c>
      <c r="E72" s="3">
        <f>D72/C72</f>
        <v>0.97597176561593502</v>
      </c>
    </row>
    <row r="73" spans="1:6" s="5" customFormat="1" ht="31.5">
      <c r="A73" s="10" t="s">
        <v>8</v>
      </c>
      <c r="B73" s="10" t="s">
        <v>9</v>
      </c>
      <c r="C73" s="13">
        <f>6870900/1000</f>
        <v>6870.9</v>
      </c>
      <c r="D73" s="13">
        <f>5228324.22/1000</f>
        <v>5228.3242199999995</v>
      </c>
      <c r="E73" s="3">
        <f t="shared" ref="E73:E94" si="1">D73/C73</f>
        <v>0.76093731825525035</v>
      </c>
    </row>
    <row r="74" spans="1:6" s="5" customFormat="1" ht="15.75">
      <c r="A74" s="10" t="s">
        <v>18</v>
      </c>
      <c r="B74" s="10" t="s">
        <v>128</v>
      </c>
      <c r="C74" s="13">
        <f>257687/1000</f>
        <v>257.68700000000001</v>
      </c>
      <c r="D74" s="13">
        <f>257686.22/1000</f>
        <v>257.68621999999999</v>
      </c>
      <c r="E74" s="3">
        <f t="shared" si="1"/>
        <v>0.99999697307198265</v>
      </c>
    </row>
    <row r="75" spans="1:6" s="5" customFormat="1" ht="15.75">
      <c r="A75" s="10" t="s">
        <v>20</v>
      </c>
      <c r="B75" s="10" t="s">
        <v>101</v>
      </c>
      <c r="C75" s="13">
        <f>80000/1000</f>
        <v>80</v>
      </c>
      <c r="D75" s="13">
        <f>80000/1000</f>
        <v>80</v>
      </c>
      <c r="E75" s="3">
        <f t="shared" si="1"/>
        <v>1</v>
      </c>
    </row>
    <row r="76" spans="1:6" s="5" customFormat="1" ht="17.25" customHeight="1">
      <c r="A76" s="10" t="s">
        <v>21</v>
      </c>
      <c r="B76" s="10" t="s">
        <v>22</v>
      </c>
      <c r="C76" s="13">
        <f>315500/1000</f>
        <v>315.5</v>
      </c>
      <c r="D76" s="13">
        <f>264500/1000</f>
        <v>264.5</v>
      </c>
      <c r="E76" s="3">
        <f t="shared" si="1"/>
        <v>0.83835182250396201</v>
      </c>
    </row>
    <row r="77" spans="1:6" s="5" customFormat="1" ht="20.25" customHeight="1">
      <c r="A77" s="10" t="s">
        <v>129</v>
      </c>
      <c r="B77" s="10" t="s">
        <v>130</v>
      </c>
      <c r="C77" s="13">
        <f>1560200/1000</f>
        <v>1560.2</v>
      </c>
      <c r="D77" s="13">
        <f>960100/1000</f>
        <v>960.1</v>
      </c>
      <c r="E77" s="3">
        <f t="shared" si="1"/>
        <v>0.61536982438148957</v>
      </c>
    </row>
    <row r="78" spans="1:6" s="5" customFormat="1" ht="15.75">
      <c r="A78" s="10" t="s">
        <v>131</v>
      </c>
      <c r="B78" s="10" t="s">
        <v>132</v>
      </c>
      <c r="C78" s="13">
        <f>264000/1000</f>
        <v>264</v>
      </c>
      <c r="D78" s="13">
        <f>264000/1000</f>
        <v>264</v>
      </c>
      <c r="E78" s="3">
        <f t="shared" si="1"/>
        <v>1</v>
      </c>
    </row>
    <row r="79" spans="1:6" s="5" customFormat="1" ht="18" customHeight="1">
      <c r="A79" s="10" t="s">
        <v>25</v>
      </c>
      <c r="B79" s="10" t="s">
        <v>104</v>
      </c>
      <c r="C79" s="13">
        <f>981890/1000</f>
        <v>981.89</v>
      </c>
      <c r="D79" s="13">
        <f>173100/1000</f>
        <v>173.1</v>
      </c>
      <c r="E79" s="3">
        <f t="shared" si="1"/>
        <v>0.17629266007393904</v>
      </c>
    </row>
    <row r="80" spans="1:6" s="5" customFormat="1" ht="16.5" customHeight="1">
      <c r="A80" s="10" t="s">
        <v>26</v>
      </c>
      <c r="B80" s="10" t="s">
        <v>27</v>
      </c>
      <c r="C80" s="13">
        <f>165000/1000</f>
        <v>165</v>
      </c>
      <c r="D80" s="13">
        <f>82824/1000</f>
        <v>82.823999999999998</v>
      </c>
      <c r="E80" s="3">
        <f t="shared" si="1"/>
        <v>0.50196363636363639</v>
      </c>
    </row>
    <row r="81" spans="1:6" s="5" customFormat="1" ht="15.75">
      <c r="A81" s="10" t="s">
        <v>41</v>
      </c>
      <c r="B81" s="10" t="s">
        <v>42</v>
      </c>
      <c r="C81" s="13">
        <f>2399096/1000</f>
        <v>2399.096</v>
      </c>
      <c r="D81" s="13">
        <f>725706.88/1000</f>
        <v>725.70687999999996</v>
      </c>
      <c r="E81" s="3">
        <f t="shared" si="1"/>
        <v>0.30249180524664288</v>
      </c>
    </row>
    <row r="82" spans="1:6" s="5" customFormat="1" ht="31.5" customHeight="1">
      <c r="A82" s="10" t="s">
        <v>43</v>
      </c>
      <c r="B82" s="10" t="s">
        <v>44</v>
      </c>
      <c r="C82" s="13">
        <f>1191644/1000</f>
        <v>1191.644</v>
      </c>
      <c r="D82" s="13">
        <f>254886.88/1000</f>
        <v>254.88687999999999</v>
      </c>
      <c r="E82" s="3">
        <f t="shared" si="1"/>
        <v>0.21389515660717462</v>
      </c>
    </row>
    <row r="83" spans="1:6" s="5" customFormat="1" ht="15.75">
      <c r="A83" s="10" t="s">
        <v>133</v>
      </c>
      <c r="B83" s="10" t="s">
        <v>134</v>
      </c>
      <c r="C83" s="13">
        <f>201385/1000</f>
        <v>201.38499999999999</v>
      </c>
      <c r="D83" s="13">
        <f>193100/1000</f>
        <v>193.1</v>
      </c>
      <c r="E83" s="3">
        <f t="shared" si="1"/>
        <v>0.95885989522556303</v>
      </c>
    </row>
    <row r="84" spans="1:6" s="5" customFormat="1" ht="50.25" customHeight="1">
      <c r="A84" s="10" t="s">
        <v>58</v>
      </c>
      <c r="B84" s="10" t="s">
        <v>135</v>
      </c>
      <c r="C84" s="13">
        <f>644553/1000</f>
        <v>644.553</v>
      </c>
      <c r="D84" s="13">
        <f>540908/1000</f>
        <v>540.90800000000002</v>
      </c>
      <c r="E84" s="3">
        <f t="shared" si="1"/>
        <v>0.83919863843624964</v>
      </c>
    </row>
    <row r="85" spans="1:6" s="5" customFormat="1" ht="51" customHeight="1">
      <c r="A85" s="10" t="s">
        <v>59</v>
      </c>
      <c r="B85" s="10" t="s">
        <v>136</v>
      </c>
      <c r="C85" s="13">
        <f>19850/1000</f>
        <v>19.850000000000001</v>
      </c>
      <c r="D85" s="13">
        <f>14970/1000</f>
        <v>14.97</v>
      </c>
      <c r="E85" s="3">
        <f t="shared" si="1"/>
        <v>0.75415617128463475</v>
      </c>
    </row>
    <row r="86" spans="1:6" s="5" customFormat="1" ht="15.75">
      <c r="A86" s="10" t="s">
        <v>61</v>
      </c>
      <c r="B86" s="10" t="s">
        <v>107</v>
      </c>
      <c r="C86" s="13">
        <f>349560/1000</f>
        <v>349.56</v>
      </c>
      <c r="D86" s="13">
        <f>93560/1000</f>
        <v>93.56</v>
      </c>
      <c r="E86" s="3">
        <f t="shared" si="1"/>
        <v>0.26765076095663121</v>
      </c>
    </row>
    <row r="87" spans="1:6" s="5" customFormat="1" ht="15.75">
      <c r="A87" s="10" t="s">
        <v>69</v>
      </c>
      <c r="B87" s="10" t="s">
        <v>111</v>
      </c>
      <c r="C87" s="13">
        <f>36063/1000</f>
        <v>36.063000000000002</v>
      </c>
      <c r="D87" s="13">
        <f>36062.16/1000</f>
        <v>36.062160000000006</v>
      </c>
      <c r="E87" s="3">
        <f t="shared" si="1"/>
        <v>0.99997670742866662</v>
      </c>
    </row>
    <row r="88" spans="1:6" s="5" customFormat="1" ht="18.75" customHeight="1">
      <c r="A88" s="10" t="s">
        <v>78</v>
      </c>
      <c r="B88" s="10" t="s">
        <v>79</v>
      </c>
      <c r="C88" s="13">
        <f>59000/1000</f>
        <v>59</v>
      </c>
      <c r="D88" s="13">
        <f>58990/1000</f>
        <v>58.99</v>
      </c>
      <c r="E88" s="3">
        <f t="shared" si="1"/>
        <v>0.99983050847457633</v>
      </c>
    </row>
    <row r="89" spans="1:6" s="5" customFormat="1" ht="15.75">
      <c r="A89" s="10" t="s">
        <v>81</v>
      </c>
      <c r="B89" s="10" t="s">
        <v>82</v>
      </c>
      <c r="C89" s="13">
        <f>13600/1000</f>
        <v>13.6</v>
      </c>
      <c r="D89" s="13">
        <f>13092.2/1000</f>
        <v>13.0922</v>
      </c>
      <c r="E89" s="3">
        <f t="shared" si="1"/>
        <v>0.96266176470588238</v>
      </c>
    </row>
    <row r="90" spans="1:6" s="5" customFormat="1" ht="17.25" customHeight="1">
      <c r="A90" s="10" t="s">
        <v>94</v>
      </c>
      <c r="B90" s="10" t="s">
        <v>95</v>
      </c>
      <c r="C90" s="13">
        <f>1431558/1000</f>
        <v>1431.558</v>
      </c>
      <c r="D90" s="13">
        <f>40400/1000</f>
        <v>40.4</v>
      </c>
      <c r="E90" s="3">
        <f t="shared" si="1"/>
        <v>2.8221001174943663E-2</v>
      </c>
    </row>
    <row r="91" spans="1:6" s="5" customFormat="1" ht="33" customHeight="1">
      <c r="A91" s="10" t="s">
        <v>137</v>
      </c>
      <c r="B91" s="10" t="s">
        <v>138</v>
      </c>
      <c r="C91" s="13">
        <f>19792/1000</f>
        <v>19.792000000000002</v>
      </c>
      <c r="D91" s="13">
        <v>0</v>
      </c>
      <c r="E91" s="3">
        <f t="shared" si="1"/>
        <v>0</v>
      </c>
    </row>
    <row r="92" spans="1:6" s="5" customFormat="1" ht="36" customHeight="1">
      <c r="A92" s="10" t="s">
        <v>139</v>
      </c>
      <c r="B92" s="10" t="s">
        <v>140</v>
      </c>
      <c r="C92" s="13">
        <f>450000/1000</f>
        <v>450</v>
      </c>
      <c r="D92" s="13">
        <v>0</v>
      </c>
      <c r="E92" s="3">
        <f t="shared" si="1"/>
        <v>0</v>
      </c>
    </row>
    <row r="93" spans="1:6" s="5" customFormat="1" ht="15.75">
      <c r="A93" s="19" t="s">
        <v>143</v>
      </c>
      <c r="B93" s="19"/>
      <c r="C93" s="14">
        <f>C92+C91+C90+C89+C88+C87+C86+C85+C84+C83+C82+C81+C80+C79+C78+C77+C76+C75+C74+C73+C72</f>
        <v>19379.678000000004</v>
      </c>
      <c r="D93" s="14">
        <f>D92+D91+D90+D89+D88+D87+D86+D85+D84+D83+D82+D81+D80+D79+D78+D77+D76+D75+D74+D73+D72</f>
        <v>11300.91056</v>
      </c>
      <c r="E93" s="1">
        <f t="shared" si="1"/>
        <v>0.58313200869488124</v>
      </c>
      <c r="F93" s="15" t="s">
        <v>122</v>
      </c>
    </row>
    <row r="94" spans="1:6" s="5" customFormat="1" ht="15.75">
      <c r="A94" s="16"/>
      <c r="B94" s="17" t="s">
        <v>144</v>
      </c>
      <c r="C94" s="18">
        <f>C93+C70</f>
        <v>190557.61914000005</v>
      </c>
      <c r="D94" s="18">
        <f t="shared" ref="D94" si="2">D93+D70</f>
        <v>158800.66802000001</v>
      </c>
      <c r="E94" s="1">
        <f t="shared" si="1"/>
        <v>0.83334725075113025</v>
      </c>
    </row>
    <row r="96" spans="1:6" s="5" customFormat="1" ht="15.75">
      <c r="A96" s="5" t="s">
        <v>145</v>
      </c>
      <c r="C96" s="15"/>
      <c r="D96" s="15" t="s">
        <v>146</v>
      </c>
    </row>
  </sheetData>
  <mergeCells count="11">
    <mergeCell ref="A70:B70"/>
    <mergeCell ref="B7:D7"/>
    <mergeCell ref="A93:B93"/>
    <mergeCell ref="B71:D71"/>
    <mergeCell ref="A1:E1"/>
    <mergeCell ref="A3:E3"/>
    <mergeCell ref="A4:B4"/>
    <mergeCell ref="A5:A6"/>
    <mergeCell ref="B5:B6"/>
    <mergeCell ref="B2:D2"/>
    <mergeCell ref="E5:E6"/>
  </mergeCells>
  <pageMargins left="1.1811023622047245" right="0.39370078740157483" top="0.78740157480314965" bottom="0.78740157480314965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2021-10-21T07:19:03Z</cp:lastPrinted>
  <dcterms:created xsi:type="dcterms:W3CDTF">2021-10-11T05:43:30Z</dcterms:created>
  <dcterms:modified xsi:type="dcterms:W3CDTF">2021-10-28T06:30:09Z</dcterms:modified>
</cp:coreProperties>
</file>