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3" sheetId="1" r:id="rId1"/>
  </sheets>
  <definedNames>
    <definedName name="_xlnm.Print_Area" localSheetId="0">'додаток 3'!$A$1:$P$113</definedName>
  </definedNames>
  <calcPr fullCalcOnLoad="1"/>
</workbook>
</file>

<file path=xl/sharedStrings.xml><?xml version="1.0" encoding="utf-8"?>
<sst xmlns="http://schemas.openxmlformats.org/spreadsheetml/2006/main" count="356" uniqueCount="270">
  <si>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</si>
  <si>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</si>
  <si>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</si>
  <si>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</si>
  <si>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</si>
  <si>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</si>
  <si>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</si>
  <si>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</si>
  <si>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</si>
  <si>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</si>
  <si>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</si>
  <si>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</si>
  <si>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</si>
  <si>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</si>
  <si>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</si>
  <si>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</si>
  <si>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</si>
  <si>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</si>
  <si>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</si>
  <si>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</si>
  <si>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</si>
  <si>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</si>
  <si>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</si>
  <si>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</si>
  <si>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</si>
  <si>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</si>
  <si>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</si>
  <si>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</si>
  <si>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</si>
  <si>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</si>
  <si>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</si>
  <si>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</si>
  <si>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</si>
  <si>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</si>
  <si>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</si>
  <si>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</si>
  <si>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</si>
  <si>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</si>
  <si>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</si>
  <si>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</si>
  <si>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</si>
  <si>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</si>
  <si>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</si>
  <si>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</si>
  <si>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</si>
  <si>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</si>
  <si>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</si>
  <si>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</si>
  <si>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</si>
  <si>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</si>
  <si>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</si>
  <si>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</si>
  <si>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</si>
  <si>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</si>
  <si>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</si>
  <si>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</si>
  <si>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</si>
  <si>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</si>
  <si>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</si>
  <si>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</si>
  <si>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</si>
  <si>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</si>
  <si>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</si>
  <si>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</si>
  <si>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</si>
  <si>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</si>
  <si>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</si>
  <si>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</si>
  <si>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</si>
  <si>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</si>
  <si>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</si>
  <si>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</si>
  <si>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</si>
  <si>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</si>
  <si>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</si>
  <si>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</si>
  <si>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</si>
  <si>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</si>
  <si>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</si>
  <si>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</si>
  <si>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</si>
  <si>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</si>
  <si>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</si>
  <si>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</si>
  <si>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</si>
  <si>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</si>
  <si>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</si>
  <si>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</si>
  <si>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</si>
  <si>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</si>
  <si>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</si>
  <si>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</si>
  <si>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</si>
  <si>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</si>
  <si>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</si>
  <si>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</si>
  <si>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</si>
  <si>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</si>
  <si>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</si>
  <si>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</si>
  <si>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</si>
  <si>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</si>
  <si>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</si>
  <si>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</si>
  <si>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</si>
  <si>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</si>
  <si>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</si>
  <si>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</si>
  <si>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</si>
  <si>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</si>
  <si>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</si>
  <si>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</si>
  <si>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</si>
  <si>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</si>
  <si>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</si>
  <si>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</si>
  <si>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</si>
  <si>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</si>
  <si>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</si>
  <si>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</si>
  <si>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</si>
  <si>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</si>
  <si>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</si>
  <si>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</si>
  <si>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</si>
  <si>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</si>
  <si>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</si>
  <si>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</si>
  <si>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</si>
  <si>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</si>
  <si>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</si>
  <si>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</si>
  <si>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</si>
  <si>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</si>
  <si>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</si>
  <si>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</si>
  <si>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</si>
  <si>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</si>
  <si>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</si>
  <si>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</si>
  <si>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</si>
  <si>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</si>
  <si>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</si>
  <si>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</si>
  <si>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</si>
  <si>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</si>
  <si>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</si>
  <si>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</si>
  <si>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</si>
  <si>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</si>
  <si>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</si>
  <si>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</si>
  <si>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</si>
  <si>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</si>
  <si>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</si>
  <si>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</si>
  <si>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</si>
  <si>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</si>
  <si>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</si>
  <si>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</si>
  <si>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</si>
  <si>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</si>
  <si>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</si>
  <si>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</si>
  <si>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</si>
  <si>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</si>
  <si>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</si>
  <si>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</si>
  <si>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</si>
  <si>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</si>
  <si>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</si>
  <si>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</si>
  <si>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</si>
  <si>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</si>
  <si>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</si>
  <si>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</si>
  <si>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</si>
  <si>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</si>
  <si>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</si>
  <si>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</si>
  <si>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</si>
  <si>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</si>
  <si>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</si>
  <si>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</si>
  <si>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</si>
  <si>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</si>
  <si>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</si>
  <si>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</si>
  <si>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</si>
  <si>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</si>
  <si>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</si>
  <si>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</si>
  <si>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</si>
  <si>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</si>
  <si>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</si>
  <si>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</si>
  <si>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</si>
  <si>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</si>
  <si>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</si>
  <si>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</si>
  <si>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</si>
  <si>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</si>
  <si>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</si>
  <si>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</si>
  <si>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</si>
  <si>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</si>
  <si>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</si>
  <si>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</si>
  <si>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</si>
  <si>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</si>
  <si>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</si>
  <si>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</si>
  <si>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</si>
  <si>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</si>
  <si>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</si>
  <si>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</si>
  <si>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</si>
  <si>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</si>
  <si>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</si>
  <si>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</si>
  <si>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</si>
  <si>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</si>
  <si>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</si>
  <si>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</si>
  <si>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</si>
  <si>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</si>
  <si>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</si>
  <si>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</si>
  <si>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</si>
  <si>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</si>
  <si>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</si>
  <si>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</si>
  <si>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</si>
  <si>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</si>
  <si>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</si>
  <si>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</si>
  <si>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</si>
  <si>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</si>
  <si>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</si>
  <si>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</si>
  <si>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</si>
  <si>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</si>
  <si>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</si>
  <si>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</si>
  <si>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</si>
  <si>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</si>
  <si>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</si>
  <si>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</si>
  <si>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</si>
  <si>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</si>
  <si>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</si>
  <si>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</si>
  <si>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</si>
  <si>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</si>
  <si>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</si>
  <si>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</si>
  <si>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</si>
  <si>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</si>
  <si>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</si>
  <si>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</si>
  <si>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</si>
  <si>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</si>
  <si>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6017</t>
  </si>
  <si>
    <t>0216017</t>
  </si>
  <si>
    <t xml:space="preserve">Інша діяльність, пов’язана з експлуатацією об’єктів житлово-комунального господарства </t>
  </si>
  <si>
    <t>Управління культури, національностей та релігій виконавчого комітету Березанської міської ради</t>
  </si>
  <si>
    <t>3121</t>
  </si>
  <si>
    <t>0213121</t>
  </si>
  <si>
    <t>Утримання та забезпечення діяльності центрів соціальних службдля сім`ї дітей та молоді</t>
  </si>
  <si>
    <t>від 25.06.2020 № 1068-89-VII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</si>
</sst>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9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95" fontId="2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/>
    </xf>
    <xf numFmtId="0" fontId="27" fillId="27" borderId="10" xfId="0" applyFont="1" applyFill="1" applyBorder="1" applyAlignment="1">
      <alignment horizontal="left"/>
    </xf>
    <xf numFmtId="0" fontId="27" fillId="27" borderId="10" xfId="0" applyFont="1" applyFill="1" applyBorder="1" applyAlignment="1">
      <alignment/>
    </xf>
    <xf numFmtId="195" fontId="27" fillId="27" borderId="10" xfId="0" applyNumberFormat="1" applyFont="1" applyFill="1" applyBorder="1" applyAlignment="1">
      <alignment/>
    </xf>
    <xf numFmtId="195" fontId="27" fillId="27" borderId="10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/>
    </xf>
    <xf numFmtId="0" fontId="39" fillId="0" borderId="0" xfId="0" applyFont="1" applyAlignment="1">
      <alignment/>
    </xf>
    <xf numFmtId="2" fontId="27" fillId="28" borderId="10" xfId="0" applyNumberFormat="1" applyFont="1" applyFill="1" applyBorder="1" applyAlignment="1">
      <alignment/>
    </xf>
    <xf numFmtId="2" fontId="27" fillId="28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6" fillId="27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8" fillId="24" borderId="10" xfId="0" applyFont="1" applyFill="1" applyBorder="1" applyAlignment="1">
      <alignment horizontal="center" vertical="top" wrapText="1"/>
    </xf>
    <xf numFmtId="0" fontId="47" fillId="24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22" fillId="27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2"/>
  <sheetViews>
    <sheetView tabSelected="1" view="pageBreakPreview" zoomScaleSheetLayoutView="100" workbookViewId="0" topLeftCell="A61">
      <selection activeCell="D69" sqref="D69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5" width="12.25390625" style="24" customWidth="1"/>
    <col min="6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2" width="9.25390625" style="24" bestFit="1" customWidth="1"/>
    <col min="13" max="13" width="8.375" style="24" customWidth="1"/>
    <col min="14" max="14" width="9.25390625" style="24" bestFit="1" customWidth="1"/>
    <col min="15" max="15" width="8.375" style="24" customWidth="1"/>
    <col min="16" max="16" width="13.00390625" style="24" customWidth="1"/>
    <col min="17" max="16384" width="9.125" style="24" customWidth="1"/>
  </cols>
  <sheetData>
    <row r="1" ht="7.5" customHeight="1"/>
    <row r="2" spans="1:16" ht="13.5" customHeight="1">
      <c r="A2" s="109">
        <v>10514000000</v>
      </c>
      <c r="B2" s="110"/>
      <c r="C2" s="26"/>
      <c r="D2" s="26"/>
      <c r="K2" s="111" t="s">
        <v>6</v>
      </c>
      <c r="L2" s="102"/>
      <c r="M2" s="102"/>
      <c r="N2" s="102"/>
      <c r="O2" s="102"/>
      <c r="P2" s="102"/>
    </row>
    <row r="3" spans="1:16" ht="14.25" customHeight="1">
      <c r="A3" s="97" t="s">
        <v>258</v>
      </c>
      <c r="B3" s="98"/>
      <c r="C3" s="26"/>
      <c r="D3" s="26"/>
      <c r="K3" s="101" t="s">
        <v>207</v>
      </c>
      <c r="L3" s="102"/>
      <c r="M3" s="102"/>
      <c r="N3" s="102"/>
      <c r="O3" s="102"/>
      <c r="P3" s="102"/>
    </row>
    <row r="4" spans="2:16" ht="29.25" customHeight="1">
      <c r="B4" s="26"/>
      <c r="C4" s="26"/>
      <c r="D4" s="26"/>
      <c r="K4" s="115" t="s">
        <v>235</v>
      </c>
      <c r="L4" s="116"/>
      <c r="M4" s="116"/>
      <c r="N4" s="116"/>
      <c r="O4" s="102"/>
      <c r="P4" s="102"/>
    </row>
    <row r="5" spans="1:16" ht="14.25" customHeight="1">
      <c r="A5" s="26"/>
      <c r="B5" s="26"/>
      <c r="C5" s="26"/>
      <c r="D5" s="26"/>
      <c r="K5" s="112" t="s">
        <v>269</v>
      </c>
      <c r="L5" s="113"/>
      <c r="M5" s="113"/>
      <c r="N5" s="113"/>
      <c r="O5" s="113"/>
      <c r="P5" s="113"/>
    </row>
    <row r="6" spans="1:4" ht="12.75">
      <c r="A6" s="26"/>
      <c r="B6" s="26"/>
      <c r="C6" s="26"/>
      <c r="D6" s="26"/>
    </row>
    <row r="7" spans="1:16" ht="18.75">
      <c r="A7" s="117" t="s">
        <v>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8.75">
      <c r="A8" s="117" t="s">
        <v>232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10" spans="1:16" ht="12.75">
      <c r="A10" s="1"/>
      <c r="P10" s="1" t="s">
        <v>0</v>
      </c>
    </row>
    <row r="11" spans="1:16" ht="32.25" customHeight="1">
      <c r="A11" s="99" t="s">
        <v>255</v>
      </c>
      <c r="B11" s="99" t="s">
        <v>256</v>
      </c>
      <c r="C11" s="99" t="s">
        <v>217</v>
      </c>
      <c r="D11" s="106" t="s">
        <v>257</v>
      </c>
      <c r="E11" s="99" t="s">
        <v>1</v>
      </c>
      <c r="F11" s="99"/>
      <c r="G11" s="99"/>
      <c r="H11" s="99"/>
      <c r="I11" s="99"/>
      <c r="J11" s="99" t="s">
        <v>2</v>
      </c>
      <c r="K11" s="99"/>
      <c r="L11" s="99"/>
      <c r="M11" s="99"/>
      <c r="N11" s="99"/>
      <c r="O11" s="99"/>
      <c r="P11" s="100" t="s">
        <v>5</v>
      </c>
    </row>
    <row r="12" spans="1:16" ht="22.5" customHeight="1">
      <c r="A12" s="99"/>
      <c r="B12" s="99"/>
      <c r="C12" s="99"/>
      <c r="D12" s="107"/>
      <c r="E12" s="100" t="s">
        <v>3</v>
      </c>
      <c r="F12" s="99" t="s">
        <v>8</v>
      </c>
      <c r="G12" s="103" t="s">
        <v>9</v>
      </c>
      <c r="H12" s="103"/>
      <c r="I12" s="99" t="s">
        <v>10</v>
      </c>
      <c r="J12" s="100" t="s">
        <v>3</v>
      </c>
      <c r="K12" s="103" t="s">
        <v>4</v>
      </c>
      <c r="L12" s="99" t="s">
        <v>8</v>
      </c>
      <c r="M12" s="99" t="s">
        <v>9</v>
      </c>
      <c r="N12" s="99"/>
      <c r="O12" s="103" t="s">
        <v>10</v>
      </c>
      <c r="P12" s="100"/>
    </row>
    <row r="13" spans="1:16" ht="23.25" customHeight="1">
      <c r="A13" s="99"/>
      <c r="B13" s="99"/>
      <c r="C13" s="99"/>
      <c r="D13" s="107"/>
      <c r="E13" s="100"/>
      <c r="F13" s="99"/>
      <c r="G13" s="103" t="s">
        <v>11</v>
      </c>
      <c r="H13" s="103" t="s">
        <v>12</v>
      </c>
      <c r="I13" s="99"/>
      <c r="J13" s="100"/>
      <c r="K13" s="103"/>
      <c r="L13" s="99"/>
      <c r="M13" s="99" t="s">
        <v>11</v>
      </c>
      <c r="N13" s="99" t="s">
        <v>12</v>
      </c>
      <c r="O13" s="103"/>
      <c r="P13" s="100"/>
    </row>
    <row r="14" spans="1:16" ht="15.75" customHeight="1">
      <c r="A14" s="99"/>
      <c r="B14" s="99"/>
      <c r="C14" s="99"/>
      <c r="D14" s="108"/>
      <c r="E14" s="100"/>
      <c r="F14" s="99"/>
      <c r="G14" s="103"/>
      <c r="H14" s="103"/>
      <c r="I14" s="99"/>
      <c r="J14" s="100"/>
      <c r="K14" s="103"/>
      <c r="L14" s="99"/>
      <c r="M14" s="99"/>
      <c r="N14" s="99"/>
      <c r="O14" s="103"/>
      <c r="P14" s="100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5">
        <v>5</v>
      </c>
      <c r="F15" s="22">
        <v>6</v>
      </c>
      <c r="G15" s="73">
        <v>7</v>
      </c>
      <c r="H15" s="73">
        <v>8</v>
      </c>
      <c r="I15" s="22">
        <v>9</v>
      </c>
      <c r="J15" s="35">
        <v>10</v>
      </c>
      <c r="K15" s="73">
        <v>11</v>
      </c>
      <c r="L15" s="22">
        <v>12</v>
      </c>
      <c r="M15" s="22">
        <v>13</v>
      </c>
      <c r="N15" s="22">
        <v>14</v>
      </c>
      <c r="O15" s="73">
        <v>15</v>
      </c>
      <c r="P15" s="35">
        <v>16</v>
      </c>
    </row>
    <row r="16" spans="1:16" ht="15.75">
      <c r="A16" s="9" t="s">
        <v>13</v>
      </c>
      <c r="B16" s="27"/>
      <c r="C16" s="27"/>
      <c r="D16" s="10" t="s">
        <v>14</v>
      </c>
      <c r="E16" s="36">
        <f aca="true" t="shared" si="0" ref="E16:P16">E17+E20+E25+E29+E34+E39</f>
        <v>47643558</v>
      </c>
      <c r="F16" s="25">
        <f t="shared" si="0"/>
        <v>47643558</v>
      </c>
      <c r="G16" s="74">
        <f t="shared" si="0"/>
        <v>11610000</v>
      </c>
      <c r="H16" s="74">
        <f t="shared" si="0"/>
        <v>637000</v>
      </c>
      <c r="I16" s="25">
        <f t="shared" si="0"/>
        <v>0</v>
      </c>
      <c r="J16" s="36">
        <f t="shared" si="0"/>
        <v>14034959</v>
      </c>
      <c r="K16" s="74">
        <f t="shared" si="0"/>
        <v>13769959</v>
      </c>
      <c r="L16" s="36">
        <f t="shared" si="0"/>
        <v>15000</v>
      </c>
      <c r="M16" s="36">
        <f t="shared" si="0"/>
        <v>0</v>
      </c>
      <c r="N16" s="36">
        <f t="shared" si="0"/>
        <v>0</v>
      </c>
      <c r="O16" s="74">
        <f t="shared" si="0"/>
        <v>250000</v>
      </c>
      <c r="P16" s="36">
        <f t="shared" si="0"/>
        <v>61678517</v>
      </c>
    </row>
    <row r="17" spans="1:16" s="28" customFormat="1" ht="17.25" customHeight="1">
      <c r="A17" s="2" t="s">
        <v>70</v>
      </c>
      <c r="B17" s="3" t="s">
        <v>71</v>
      </c>
      <c r="C17" s="4"/>
      <c r="D17" s="11" t="s">
        <v>72</v>
      </c>
      <c r="E17" s="36">
        <f>E18+E19</f>
        <v>17337043</v>
      </c>
      <c r="F17" s="25">
        <f aca="true" t="shared" si="1" ref="F17:P17">F18+F19</f>
        <v>17337043</v>
      </c>
      <c r="G17" s="74">
        <f t="shared" si="1"/>
        <v>11610000</v>
      </c>
      <c r="H17" s="74">
        <f t="shared" si="1"/>
        <v>637000</v>
      </c>
      <c r="I17" s="25">
        <f t="shared" si="1"/>
        <v>0</v>
      </c>
      <c r="J17" s="36">
        <f aca="true" t="shared" si="2" ref="J17:J68">K17+L17+O17</f>
        <v>236552</v>
      </c>
      <c r="K17" s="74">
        <f t="shared" si="1"/>
        <v>221552</v>
      </c>
      <c r="L17" s="25">
        <f t="shared" si="1"/>
        <v>15000</v>
      </c>
      <c r="M17" s="25">
        <f t="shared" si="1"/>
        <v>0</v>
      </c>
      <c r="N17" s="25">
        <f t="shared" si="1"/>
        <v>0</v>
      </c>
      <c r="O17" s="74">
        <v>0</v>
      </c>
      <c r="P17" s="36">
        <f t="shared" si="1"/>
        <v>17573595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35">
        <f>16050400+46000+400000+199000+32095-347000</f>
        <v>16380495</v>
      </c>
      <c r="F18" s="22">
        <f aca="true" t="shared" si="3" ref="F18:F65">E18</f>
        <v>16380495</v>
      </c>
      <c r="G18" s="73">
        <f>11870000-260000</f>
        <v>11610000</v>
      </c>
      <c r="H18" s="73">
        <f>438000+199000</f>
        <v>637000</v>
      </c>
      <c r="I18" s="22"/>
      <c r="J18" s="36">
        <f t="shared" si="2"/>
        <v>15000</v>
      </c>
      <c r="K18" s="73"/>
      <c r="L18" s="22">
        <v>15000</v>
      </c>
      <c r="M18" s="22"/>
      <c r="N18" s="22"/>
      <c r="O18" s="73"/>
      <c r="P18" s="35">
        <f aca="true" t="shared" si="4" ref="P18:P65">E18+J18</f>
        <v>16395495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5">
        <f>3000000-197552-150000-400000-1205000-90900</f>
        <v>956548</v>
      </c>
      <c r="F19" s="22">
        <f t="shared" si="3"/>
        <v>956548</v>
      </c>
      <c r="G19" s="73"/>
      <c r="H19" s="73"/>
      <c r="I19" s="22"/>
      <c r="J19" s="36">
        <f t="shared" si="2"/>
        <v>221552</v>
      </c>
      <c r="K19" s="73">
        <f>197552+24000</f>
        <v>221552</v>
      </c>
      <c r="L19" s="22"/>
      <c r="M19" s="22"/>
      <c r="N19" s="22"/>
      <c r="O19" s="73">
        <v>0</v>
      </c>
      <c r="P19" s="35">
        <f t="shared" si="4"/>
        <v>1178100</v>
      </c>
    </row>
    <row r="20" spans="1:16" s="28" customFormat="1" ht="15.75">
      <c r="A20" s="2" t="s">
        <v>77</v>
      </c>
      <c r="B20" s="3" t="s">
        <v>78</v>
      </c>
      <c r="C20" s="4"/>
      <c r="D20" s="11" t="s">
        <v>79</v>
      </c>
      <c r="E20" s="36">
        <f>E21+E22</f>
        <v>10941500</v>
      </c>
      <c r="F20" s="25">
        <f aca="true" t="shared" si="5" ref="F20:P20">F21+F22</f>
        <v>10941500</v>
      </c>
      <c r="G20" s="74">
        <f t="shared" si="5"/>
        <v>0</v>
      </c>
      <c r="H20" s="74">
        <f t="shared" si="5"/>
        <v>0</v>
      </c>
      <c r="I20" s="25">
        <f t="shared" si="5"/>
        <v>0</v>
      </c>
      <c r="J20" s="36">
        <f t="shared" si="2"/>
        <v>11051341</v>
      </c>
      <c r="K20" s="74">
        <f t="shared" si="5"/>
        <v>10801341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74">
        <f t="shared" si="5"/>
        <v>250000</v>
      </c>
      <c r="P20" s="36">
        <f t="shared" si="5"/>
        <v>21992841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72">
        <f>4143800+2400000+100000+294700+200000+265800+200000+1886000+65000+241200+283800</f>
        <v>10080300</v>
      </c>
      <c r="F21" s="22">
        <f t="shared" si="3"/>
        <v>10080300</v>
      </c>
      <c r="G21" s="73"/>
      <c r="H21" s="73"/>
      <c r="I21" s="22"/>
      <c r="J21" s="36">
        <f t="shared" si="2"/>
        <v>11051341</v>
      </c>
      <c r="K21" s="73">
        <f>9417900-(250000)-1707559+480000+150000+1805000+206000+700000</f>
        <v>10801341</v>
      </c>
      <c r="L21" s="22"/>
      <c r="M21" s="22"/>
      <c r="N21" s="22"/>
      <c r="O21" s="73">
        <v>250000</v>
      </c>
      <c r="P21" s="35">
        <f t="shared" si="4"/>
        <v>21131641</v>
      </c>
    </row>
    <row r="22" spans="1:16" s="28" customFormat="1" ht="15.75">
      <c r="A22" s="7" t="s">
        <v>80</v>
      </c>
      <c r="B22" s="8" t="s">
        <v>81</v>
      </c>
      <c r="C22" s="8"/>
      <c r="D22" s="23" t="s">
        <v>82</v>
      </c>
      <c r="E22" s="36">
        <f>E23+E24</f>
        <v>861200</v>
      </c>
      <c r="F22" s="36">
        <f aca="true" t="shared" si="6" ref="F22:P22">F23+F24</f>
        <v>861200</v>
      </c>
      <c r="G22" s="74">
        <f t="shared" si="6"/>
        <v>0</v>
      </c>
      <c r="H22" s="74">
        <f t="shared" si="6"/>
        <v>0</v>
      </c>
      <c r="I22" s="36">
        <f t="shared" si="6"/>
        <v>0</v>
      </c>
      <c r="J22" s="36">
        <f t="shared" si="6"/>
        <v>0</v>
      </c>
      <c r="K22" s="74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74">
        <f t="shared" si="6"/>
        <v>0</v>
      </c>
      <c r="P22" s="36">
        <f t="shared" si="6"/>
        <v>861200</v>
      </c>
    </row>
    <row r="23" spans="1:16" ht="31.5">
      <c r="A23" s="45" t="s">
        <v>83</v>
      </c>
      <c r="B23" s="46" t="s">
        <v>84</v>
      </c>
      <c r="C23" s="46" t="s">
        <v>85</v>
      </c>
      <c r="D23" s="47" t="s">
        <v>86</v>
      </c>
      <c r="E23" s="35">
        <v>300000</v>
      </c>
      <c r="F23" s="22">
        <f t="shared" si="3"/>
        <v>300000</v>
      </c>
      <c r="G23" s="73"/>
      <c r="H23" s="73"/>
      <c r="I23" s="22"/>
      <c r="J23" s="36">
        <f t="shared" si="2"/>
        <v>0</v>
      </c>
      <c r="K23" s="73"/>
      <c r="L23" s="22"/>
      <c r="M23" s="22"/>
      <c r="N23" s="22"/>
      <c r="O23" s="73"/>
      <c r="P23" s="35">
        <f t="shared" si="4"/>
        <v>300000</v>
      </c>
    </row>
    <row r="24" spans="1:16" ht="31.5">
      <c r="A24" s="5" t="s">
        <v>29</v>
      </c>
      <c r="B24" s="6" t="s">
        <v>30</v>
      </c>
      <c r="C24" s="6" t="s">
        <v>31</v>
      </c>
      <c r="D24" s="48" t="s">
        <v>21</v>
      </c>
      <c r="E24" s="35">
        <f>93300+129500+30000+290100+18300</f>
        <v>561200</v>
      </c>
      <c r="F24" s="22">
        <f t="shared" si="3"/>
        <v>561200</v>
      </c>
      <c r="G24" s="73"/>
      <c r="H24" s="73"/>
      <c r="I24" s="22"/>
      <c r="J24" s="36">
        <f t="shared" si="2"/>
        <v>0</v>
      </c>
      <c r="K24" s="73"/>
      <c r="L24" s="22"/>
      <c r="M24" s="22"/>
      <c r="N24" s="22"/>
      <c r="O24" s="73"/>
      <c r="P24" s="35">
        <f t="shared" si="4"/>
        <v>561200</v>
      </c>
    </row>
    <row r="25" spans="1:16" s="28" customFormat="1" ht="15.75">
      <c r="A25" s="2" t="s">
        <v>87</v>
      </c>
      <c r="B25" s="3" t="s">
        <v>88</v>
      </c>
      <c r="C25" s="4"/>
      <c r="D25" s="14" t="s">
        <v>89</v>
      </c>
      <c r="E25" s="36">
        <f>E26+E27+E28</f>
        <v>2051200</v>
      </c>
      <c r="F25" s="36">
        <f aca="true" t="shared" si="7" ref="F25:P25">F26+F27+F28</f>
        <v>2051200</v>
      </c>
      <c r="G25" s="36">
        <f t="shared" si="7"/>
        <v>0</v>
      </c>
      <c r="H25" s="36">
        <f t="shared" si="7"/>
        <v>0</v>
      </c>
      <c r="I25" s="36">
        <f t="shared" si="7"/>
        <v>0</v>
      </c>
      <c r="J25" s="36">
        <f t="shared" si="7"/>
        <v>0</v>
      </c>
      <c r="K25" s="36">
        <f t="shared" si="7"/>
        <v>0</v>
      </c>
      <c r="L25" s="36">
        <f t="shared" si="7"/>
        <v>0</v>
      </c>
      <c r="M25" s="36">
        <f t="shared" si="7"/>
        <v>0</v>
      </c>
      <c r="N25" s="36">
        <f t="shared" si="7"/>
        <v>0</v>
      </c>
      <c r="O25" s="36">
        <f t="shared" si="7"/>
        <v>0</v>
      </c>
      <c r="P25" s="36">
        <f t="shared" si="7"/>
        <v>2051200</v>
      </c>
    </row>
    <row r="26" spans="1:16" ht="31.5">
      <c r="A26" s="5" t="s">
        <v>90</v>
      </c>
      <c r="B26" s="6" t="s">
        <v>91</v>
      </c>
      <c r="C26" s="6" t="s">
        <v>92</v>
      </c>
      <c r="D26" s="15" t="s">
        <v>93</v>
      </c>
      <c r="E26" s="40">
        <v>1511200</v>
      </c>
      <c r="F26" s="22">
        <f t="shared" si="3"/>
        <v>1511200</v>
      </c>
      <c r="G26" s="75"/>
      <c r="H26" s="75"/>
      <c r="I26" s="29"/>
      <c r="J26" s="36">
        <f t="shared" si="2"/>
        <v>0</v>
      </c>
      <c r="K26" s="75"/>
      <c r="L26" s="29"/>
      <c r="M26" s="29"/>
      <c r="N26" s="29"/>
      <c r="O26" s="75"/>
      <c r="P26" s="35">
        <f t="shared" si="4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40">
        <v>140000</v>
      </c>
      <c r="F27" s="22">
        <f t="shared" si="3"/>
        <v>140000</v>
      </c>
      <c r="G27" s="75"/>
      <c r="H27" s="75"/>
      <c r="I27" s="29"/>
      <c r="J27" s="36">
        <f t="shared" si="2"/>
        <v>0</v>
      </c>
      <c r="K27" s="75"/>
      <c r="L27" s="29"/>
      <c r="M27" s="29"/>
      <c r="N27" s="29"/>
      <c r="O27" s="75"/>
      <c r="P27" s="35">
        <f t="shared" si="4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40">
        <v>400000</v>
      </c>
      <c r="F28" s="22">
        <f t="shared" si="3"/>
        <v>400000</v>
      </c>
      <c r="G28" s="75"/>
      <c r="H28" s="75"/>
      <c r="I28" s="29"/>
      <c r="J28" s="36">
        <f t="shared" si="2"/>
        <v>0</v>
      </c>
      <c r="K28" s="75"/>
      <c r="L28" s="29"/>
      <c r="M28" s="29"/>
      <c r="N28" s="29"/>
      <c r="O28" s="75"/>
      <c r="P28" s="35">
        <f t="shared" si="4"/>
        <v>400000</v>
      </c>
    </row>
    <row r="29" spans="1:16" ht="15.75">
      <c r="A29" s="2" t="s">
        <v>94</v>
      </c>
      <c r="B29" s="3" t="s">
        <v>95</v>
      </c>
      <c r="C29" s="4"/>
      <c r="D29" s="14" t="s">
        <v>96</v>
      </c>
      <c r="E29" s="38">
        <f>E30+E31+E32+E33</f>
        <v>15033520</v>
      </c>
      <c r="F29" s="38">
        <f aca="true" t="shared" si="8" ref="F29:P29">F30+F31+F32+F33</f>
        <v>15033520</v>
      </c>
      <c r="G29" s="76">
        <f t="shared" si="8"/>
        <v>0</v>
      </c>
      <c r="H29" s="76">
        <f t="shared" si="8"/>
        <v>0</v>
      </c>
      <c r="I29" s="38">
        <f t="shared" si="8"/>
        <v>0</v>
      </c>
      <c r="J29" s="38">
        <f t="shared" si="8"/>
        <v>1896369</v>
      </c>
      <c r="K29" s="38">
        <f t="shared" si="8"/>
        <v>1896369</v>
      </c>
      <c r="L29" s="38">
        <f t="shared" si="8"/>
        <v>0</v>
      </c>
      <c r="M29" s="38">
        <f t="shared" si="8"/>
        <v>0</v>
      </c>
      <c r="N29" s="38">
        <f t="shared" si="8"/>
        <v>0</v>
      </c>
      <c r="O29" s="76">
        <f t="shared" si="8"/>
        <v>0</v>
      </c>
      <c r="P29" s="38">
        <f t="shared" si="8"/>
        <v>16929889</v>
      </c>
    </row>
    <row r="30" spans="1:16" ht="15.75">
      <c r="A30" s="5" t="s">
        <v>260</v>
      </c>
      <c r="B30" s="6" t="s">
        <v>259</v>
      </c>
      <c r="C30" s="6" t="s">
        <v>39</v>
      </c>
      <c r="D30" s="12" t="s">
        <v>261</v>
      </c>
      <c r="E30" s="57">
        <f>100000+123600+160420+130000+117000+102000</f>
        <v>733020</v>
      </c>
      <c r="F30" s="22">
        <f t="shared" si="3"/>
        <v>733020</v>
      </c>
      <c r="G30" s="76"/>
      <c r="H30" s="76"/>
      <c r="I30" s="38"/>
      <c r="J30" s="36">
        <f t="shared" si="2"/>
        <v>1023593</v>
      </c>
      <c r="K30" s="76">
        <f>852413+171180</f>
        <v>1023593</v>
      </c>
      <c r="L30" s="38"/>
      <c r="M30" s="38"/>
      <c r="N30" s="38"/>
      <c r="O30" s="76"/>
      <c r="P30" s="35">
        <f t="shared" si="4"/>
        <v>1756613</v>
      </c>
    </row>
    <row r="31" spans="1:16" ht="31.5">
      <c r="A31" s="5" t="s">
        <v>263</v>
      </c>
      <c r="B31" s="6" t="s">
        <v>262</v>
      </c>
      <c r="C31" s="6" t="s">
        <v>39</v>
      </c>
      <c r="D31" s="17" t="s">
        <v>264</v>
      </c>
      <c r="E31" s="57">
        <f>49500+55000</f>
        <v>104500</v>
      </c>
      <c r="F31" s="22">
        <f t="shared" si="3"/>
        <v>104500</v>
      </c>
      <c r="G31" s="76"/>
      <c r="H31" s="76"/>
      <c r="I31" s="38"/>
      <c r="J31" s="36">
        <f t="shared" si="2"/>
        <v>0</v>
      </c>
      <c r="K31" s="76"/>
      <c r="L31" s="38"/>
      <c r="M31" s="38"/>
      <c r="N31" s="38"/>
      <c r="O31" s="76"/>
      <c r="P31" s="35">
        <f t="shared" si="4"/>
        <v>104500</v>
      </c>
    </row>
    <row r="32" spans="1:16" ht="33" customHeight="1">
      <c r="A32" s="5" t="s">
        <v>37</v>
      </c>
      <c r="B32" s="6" t="s">
        <v>38</v>
      </c>
      <c r="C32" s="6" t="s">
        <v>39</v>
      </c>
      <c r="D32" s="12" t="s">
        <v>24</v>
      </c>
      <c r="E32" s="37">
        <f>3500000-35000</f>
        <v>3465000</v>
      </c>
      <c r="F32" s="22">
        <f t="shared" si="3"/>
        <v>3465000</v>
      </c>
      <c r="G32" s="75"/>
      <c r="H32" s="75"/>
      <c r="I32" s="29"/>
      <c r="J32" s="36">
        <f t="shared" si="2"/>
        <v>577776</v>
      </c>
      <c r="K32" s="75">
        <f>392976+35000+49800+100000</f>
        <v>577776</v>
      </c>
      <c r="L32" s="29"/>
      <c r="M32" s="29"/>
      <c r="N32" s="29"/>
      <c r="O32" s="75"/>
      <c r="P32" s="35">
        <f t="shared" si="4"/>
        <v>4042776</v>
      </c>
    </row>
    <row r="33" spans="1:16" ht="15.75">
      <c r="A33" s="5" t="s">
        <v>40</v>
      </c>
      <c r="B33" s="6" t="s">
        <v>41</v>
      </c>
      <c r="C33" s="6" t="s">
        <v>39</v>
      </c>
      <c r="D33" s="12" t="s">
        <v>25</v>
      </c>
      <c r="E33" s="37">
        <f>11000000+190000-236000+230000-200000-253000</f>
        <v>10731000</v>
      </c>
      <c r="F33" s="22">
        <f t="shared" si="3"/>
        <v>10731000</v>
      </c>
      <c r="G33" s="75"/>
      <c r="H33" s="75"/>
      <c r="I33" s="29"/>
      <c r="J33" s="36">
        <f t="shared" si="2"/>
        <v>295000</v>
      </c>
      <c r="K33" s="75">
        <f>1000000-805000+100000</f>
        <v>295000</v>
      </c>
      <c r="L33" s="29"/>
      <c r="M33" s="29"/>
      <c r="N33" s="29"/>
      <c r="O33" s="75"/>
      <c r="P33" s="35">
        <f t="shared" si="4"/>
        <v>11026000</v>
      </c>
    </row>
    <row r="34" spans="1:21" s="28" customFormat="1" ht="15.75">
      <c r="A34" s="2" t="s">
        <v>97</v>
      </c>
      <c r="B34" s="3" t="s">
        <v>98</v>
      </c>
      <c r="C34" s="3"/>
      <c r="D34" s="16" t="s">
        <v>99</v>
      </c>
      <c r="E34" s="39">
        <f>E35+E36+E37+E38</f>
        <v>1453395</v>
      </c>
      <c r="F34" s="39">
        <f aca="true" t="shared" si="9" ref="F34:P34">F35+F36+F37+F38</f>
        <v>1453395</v>
      </c>
      <c r="G34" s="77">
        <f t="shared" si="9"/>
        <v>0</v>
      </c>
      <c r="H34" s="77">
        <f t="shared" si="9"/>
        <v>0</v>
      </c>
      <c r="I34" s="39">
        <f t="shared" si="9"/>
        <v>0</v>
      </c>
      <c r="J34" s="39">
        <f t="shared" si="9"/>
        <v>850697</v>
      </c>
      <c r="K34" s="77">
        <f t="shared" si="9"/>
        <v>850697</v>
      </c>
      <c r="L34" s="39">
        <f t="shared" si="9"/>
        <v>0</v>
      </c>
      <c r="M34" s="39">
        <f t="shared" si="9"/>
        <v>0</v>
      </c>
      <c r="N34" s="39">
        <f t="shared" si="9"/>
        <v>0</v>
      </c>
      <c r="O34" s="77">
        <f t="shared" si="9"/>
        <v>0</v>
      </c>
      <c r="P34" s="39">
        <f t="shared" si="9"/>
        <v>2304092</v>
      </c>
      <c r="U34" s="24"/>
    </row>
    <row r="35" spans="1:21" ht="16.5" customHeight="1">
      <c r="A35" s="5" t="s">
        <v>100</v>
      </c>
      <c r="B35" s="6" t="s">
        <v>101</v>
      </c>
      <c r="C35" s="6" t="s">
        <v>102</v>
      </c>
      <c r="D35" s="12" t="s">
        <v>103</v>
      </c>
      <c r="E35" s="37">
        <f>3000000-1773510-200000+100000</f>
        <v>1126490</v>
      </c>
      <c r="F35" s="22">
        <f t="shared" si="3"/>
        <v>1126490</v>
      </c>
      <c r="G35" s="75"/>
      <c r="H35" s="75"/>
      <c r="I35" s="29"/>
      <c r="J35" s="36">
        <f t="shared" si="2"/>
        <v>850697</v>
      </c>
      <c r="K35" s="75">
        <f>317325+319474+198910+14988</f>
        <v>850697</v>
      </c>
      <c r="L35" s="29"/>
      <c r="M35" s="29"/>
      <c r="N35" s="29"/>
      <c r="O35" s="75"/>
      <c r="P35" s="35">
        <f t="shared" si="4"/>
        <v>1977187</v>
      </c>
      <c r="U35" s="28"/>
    </row>
    <row r="36" spans="1:21" ht="16.5" customHeight="1">
      <c r="A36" s="5" t="s">
        <v>223</v>
      </c>
      <c r="B36" s="6" t="s">
        <v>222</v>
      </c>
      <c r="C36" s="6" t="s">
        <v>224</v>
      </c>
      <c r="D36" s="12" t="s">
        <v>225</v>
      </c>
      <c r="E36" s="37">
        <f>309000-32095</f>
        <v>276905</v>
      </c>
      <c r="F36" s="22">
        <f t="shared" si="3"/>
        <v>276905</v>
      </c>
      <c r="G36" s="75"/>
      <c r="H36" s="75"/>
      <c r="I36" s="29"/>
      <c r="J36" s="36">
        <f t="shared" si="2"/>
        <v>0</v>
      </c>
      <c r="K36" s="75"/>
      <c r="L36" s="29"/>
      <c r="M36" s="29"/>
      <c r="N36" s="29"/>
      <c r="O36" s="75"/>
      <c r="P36" s="35">
        <f t="shared" si="4"/>
        <v>276905</v>
      </c>
      <c r="U36" s="28"/>
    </row>
    <row r="37" spans="1:16" ht="15.75">
      <c r="A37" s="5" t="s">
        <v>104</v>
      </c>
      <c r="B37" s="6" t="s">
        <v>105</v>
      </c>
      <c r="C37" s="6" t="s">
        <v>106</v>
      </c>
      <c r="D37" s="17" t="s">
        <v>107</v>
      </c>
      <c r="E37" s="37">
        <f>20000-3230</f>
        <v>16770</v>
      </c>
      <c r="F37" s="22">
        <f t="shared" si="3"/>
        <v>16770</v>
      </c>
      <c r="G37" s="75"/>
      <c r="H37" s="75"/>
      <c r="I37" s="29"/>
      <c r="J37" s="36">
        <f t="shared" si="2"/>
        <v>0</v>
      </c>
      <c r="K37" s="75"/>
      <c r="L37" s="29"/>
      <c r="M37" s="29"/>
      <c r="N37" s="29"/>
      <c r="O37" s="75"/>
      <c r="P37" s="35">
        <f t="shared" si="4"/>
        <v>16770</v>
      </c>
    </row>
    <row r="38" spans="1:16" ht="15.75">
      <c r="A38" s="5" t="s">
        <v>108</v>
      </c>
      <c r="B38" s="6" t="s">
        <v>109</v>
      </c>
      <c r="C38" s="6" t="s">
        <v>110</v>
      </c>
      <c r="D38" s="12" t="s">
        <v>111</v>
      </c>
      <c r="E38" s="37">
        <f>30000+3230</f>
        <v>33230</v>
      </c>
      <c r="F38" s="22">
        <f t="shared" si="3"/>
        <v>33230</v>
      </c>
      <c r="G38" s="75"/>
      <c r="H38" s="75"/>
      <c r="I38" s="29"/>
      <c r="J38" s="36">
        <f t="shared" si="2"/>
        <v>0</v>
      </c>
      <c r="K38" s="75"/>
      <c r="L38" s="29"/>
      <c r="M38" s="29"/>
      <c r="N38" s="29"/>
      <c r="O38" s="75"/>
      <c r="P38" s="35">
        <f t="shared" si="4"/>
        <v>33230</v>
      </c>
    </row>
    <row r="39" spans="1:21" s="28" customFormat="1" ht="15.75">
      <c r="A39" s="2" t="s">
        <v>112</v>
      </c>
      <c r="B39" s="3" t="s">
        <v>113</v>
      </c>
      <c r="C39" s="3"/>
      <c r="D39" s="21" t="s">
        <v>114</v>
      </c>
      <c r="E39" s="39">
        <f>E40+E41+E42</f>
        <v>826900</v>
      </c>
      <c r="F39" s="39">
        <f aca="true" t="shared" si="10" ref="F39:P39">F40+F41+F42</f>
        <v>826900</v>
      </c>
      <c r="G39" s="77">
        <f t="shared" si="10"/>
        <v>0</v>
      </c>
      <c r="H39" s="77">
        <f t="shared" si="10"/>
        <v>0</v>
      </c>
      <c r="I39" s="39">
        <f t="shared" si="10"/>
        <v>0</v>
      </c>
      <c r="J39" s="39">
        <f t="shared" si="10"/>
        <v>0</v>
      </c>
      <c r="K39" s="77">
        <f t="shared" si="10"/>
        <v>0</v>
      </c>
      <c r="L39" s="39">
        <f t="shared" si="10"/>
        <v>0</v>
      </c>
      <c r="M39" s="39">
        <f t="shared" si="10"/>
        <v>0</v>
      </c>
      <c r="N39" s="39">
        <f t="shared" si="10"/>
        <v>0</v>
      </c>
      <c r="O39" s="77">
        <f t="shared" si="10"/>
        <v>0</v>
      </c>
      <c r="P39" s="39">
        <f t="shared" si="10"/>
        <v>826900</v>
      </c>
      <c r="U39" s="24"/>
    </row>
    <row r="40" spans="1:21" ht="31.5">
      <c r="A40" s="5" t="s">
        <v>42</v>
      </c>
      <c r="B40" s="6" t="s">
        <v>43</v>
      </c>
      <c r="C40" s="6" t="s">
        <v>44</v>
      </c>
      <c r="D40" s="12" t="s">
        <v>26</v>
      </c>
      <c r="E40" s="37">
        <f>276900+100000</f>
        <v>376900</v>
      </c>
      <c r="F40" s="22">
        <f t="shared" si="3"/>
        <v>376900</v>
      </c>
      <c r="G40" s="75"/>
      <c r="H40" s="75"/>
      <c r="I40" s="29"/>
      <c r="J40" s="36">
        <f t="shared" si="2"/>
        <v>0</v>
      </c>
      <c r="K40" s="75"/>
      <c r="L40" s="29"/>
      <c r="M40" s="29"/>
      <c r="N40" s="29"/>
      <c r="O40" s="75"/>
      <c r="P40" s="35">
        <f t="shared" si="4"/>
        <v>376900</v>
      </c>
      <c r="U40" s="28"/>
    </row>
    <row r="41" spans="1:16" ht="15.75">
      <c r="A41" s="5" t="s">
        <v>214</v>
      </c>
      <c r="B41" s="6" t="s">
        <v>212</v>
      </c>
      <c r="C41" s="6" t="s">
        <v>213</v>
      </c>
      <c r="D41" s="12" t="s">
        <v>215</v>
      </c>
      <c r="E41" s="37">
        <f>50000+30000+70000</f>
        <v>150000</v>
      </c>
      <c r="F41" s="22">
        <f t="shared" si="3"/>
        <v>150000</v>
      </c>
      <c r="G41" s="75"/>
      <c r="H41" s="75"/>
      <c r="I41" s="29"/>
      <c r="J41" s="36">
        <f t="shared" si="2"/>
        <v>0</v>
      </c>
      <c r="K41" s="75"/>
      <c r="L41" s="29"/>
      <c r="M41" s="29"/>
      <c r="N41" s="29"/>
      <c r="O41" s="75"/>
      <c r="P41" s="35">
        <f t="shared" si="4"/>
        <v>150000</v>
      </c>
    </row>
    <row r="42" spans="1:16" ht="15.75">
      <c r="A42" s="5" t="s">
        <v>208</v>
      </c>
      <c r="B42" s="6" t="s">
        <v>209</v>
      </c>
      <c r="C42" s="6" t="s">
        <v>210</v>
      </c>
      <c r="D42" s="12" t="s">
        <v>211</v>
      </c>
      <c r="E42" s="37">
        <v>300000</v>
      </c>
      <c r="F42" s="22">
        <f t="shared" si="3"/>
        <v>300000</v>
      </c>
      <c r="G42" s="75"/>
      <c r="H42" s="75"/>
      <c r="I42" s="29"/>
      <c r="J42" s="36">
        <f t="shared" si="2"/>
        <v>0</v>
      </c>
      <c r="K42" s="75"/>
      <c r="L42" s="29"/>
      <c r="M42" s="29"/>
      <c r="N42" s="29"/>
      <c r="O42" s="75"/>
      <c r="P42" s="35">
        <f t="shared" si="4"/>
        <v>300000</v>
      </c>
    </row>
    <row r="43" spans="1:21" s="28" customFormat="1" ht="21" customHeight="1">
      <c r="A43" s="18" t="s">
        <v>46</v>
      </c>
      <c r="B43" s="31"/>
      <c r="C43" s="31"/>
      <c r="D43" s="19" t="s">
        <v>45</v>
      </c>
      <c r="E43" s="59">
        <f>E44+E46+E54+E56</f>
        <v>84021268</v>
      </c>
      <c r="F43" s="59">
        <f aca="true" t="shared" si="11" ref="F43:P43">F44+F46+F54+F56</f>
        <v>84021268</v>
      </c>
      <c r="G43" s="78">
        <f t="shared" si="11"/>
        <v>58492873</v>
      </c>
      <c r="H43" s="78">
        <f t="shared" si="11"/>
        <v>8262600</v>
      </c>
      <c r="I43" s="59">
        <f t="shared" si="11"/>
        <v>0</v>
      </c>
      <c r="J43" s="59">
        <f>J44+J46+J54+J56</f>
        <v>7129588</v>
      </c>
      <c r="K43" s="78">
        <f t="shared" si="11"/>
        <v>4892188</v>
      </c>
      <c r="L43" s="59">
        <f t="shared" si="11"/>
        <v>2237400</v>
      </c>
      <c r="M43" s="59">
        <f t="shared" si="11"/>
        <v>55000</v>
      </c>
      <c r="N43" s="59">
        <f t="shared" si="11"/>
        <v>10500</v>
      </c>
      <c r="O43" s="78">
        <f t="shared" si="11"/>
        <v>0</v>
      </c>
      <c r="P43" s="59">
        <f t="shared" si="11"/>
        <v>91150856</v>
      </c>
      <c r="U43" s="24"/>
    </row>
    <row r="44" spans="1:16" s="28" customFormat="1" ht="15.75">
      <c r="A44" s="2" t="s">
        <v>115</v>
      </c>
      <c r="B44" s="3" t="s">
        <v>71</v>
      </c>
      <c r="C44" s="4"/>
      <c r="D44" s="14" t="s">
        <v>72</v>
      </c>
      <c r="E44" s="39">
        <f>E45</f>
        <v>568890</v>
      </c>
      <c r="F44" s="30">
        <f aca="true" t="shared" si="12" ref="F44:P44">F45</f>
        <v>568890</v>
      </c>
      <c r="G44" s="77">
        <f t="shared" si="12"/>
        <v>430000</v>
      </c>
      <c r="H44" s="77">
        <f t="shared" si="12"/>
        <v>26000</v>
      </c>
      <c r="I44" s="30">
        <f t="shared" si="12"/>
        <v>0</v>
      </c>
      <c r="J44" s="36">
        <f t="shared" si="2"/>
        <v>0</v>
      </c>
      <c r="K44" s="77">
        <f t="shared" si="12"/>
        <v>0</v>
      </c>
      <c r="L44" s="30">
        <f t="shared" si="12"/>
        <v>0</v>
      </c>
      <c r="M44" s="30">
        <f t="shared" si="12"/>
        <v>0</v>
      </c>
      <c r="N44" s="30">
        <f t="shared" si="12"/>
        <v>0</v>
      </c>
      <c r="O44" s="77">
        <f t="shared" si="12"/>
        <v>0</v>
      </c>
      <c r="P44" s="39">
        <f t="shared" si="12"/>
        <v>568890</v>
      </c>
    </row>
    <row r="45" spans="1:21" ht="31.5">
      <c r="A45" s="5" t="s">
        <v>116</v>
      </c>
      <c r="B45" s="6" t="s">
        <v>74</v>
      </c>
      <c r="C45" s="6" t="s">
        <v>75</v>
      </c>
      <c r="D45" s="17" t="s">
        <v>76</v>
      </c>
      <c r="E45" s="37">
        <f>553600+15290</f>
        <v>568890</v>
      </c>
      <c r="F45" s="22">
        <f>E45</f>
        <v>568890</v>
      </c>
      <c r="G45" s="75">
        <v>430000</v>
      </c>
      <c r="H45" s="75">
        <v>26000</v>
      </c>
      <c r="I45" s="29"/>
      <c r="J45" s="36">
        <f t="shared" si="2"/>
        <v>0</v>
      </c>
      <c r="K45" s="75"/>
      <c r="L45" s="29"/>
      <c r="M45" s="29"/>
      <c r="N45" s="29"/>
      <c r="O45" s="75"/>
      <c r="P45" s="35">
        <f t="shared" si="4"/>
        <v>568890</v>
      </c>
      <c r="U45" s="28"/>
    </row>
    <row r="46" spans="1:21" s="28" customFormat="1" ht="15.75">
      <c r="A46" s="2" t="s">
        <v>117</v>
      </c>
      <c r="B46" s="3" t="s">
        <v>118</v>
      </c>
      <c r="C46" s="4"/>
      <c r="D46" s="14" t="s">
        <v>119</v>
      </c>
      <c r="E46" s="39">
        <f>E47+E48+E49+E50+E51+E52+E53</f>
        <v>81808578</v>
      </c>
      <c r="F46" s="39">
        <f aca="true" t="shared" si="13" ref="F46:P46">F47+F48+F49+F50+F51+F52+F53</f>
        <v>81808578</v>
      </c>
      <c r="G46" s="77">
        <f t="shared" si="13"/>
        <v>57042873</v>
      </c>
      <c r="H46" s="77">
        <f t="shared" si="13"/>
        <v>8023600</v>
      </c>
      <c r="I46" s="39">
        <f t="shared" si="13"/>
        <v>0</v>
      </c>
      <c r="J46" s="39">
        <f t="shared" si="13"/>
        <v>6995268</v>
      </c>
      <c r="K46" s="77">
        <f t="shared" si="13"/>
        <v>4784868</v>
      </c>
      <c r="L46" s="39">
        <f t="shared" si="13"/>
        <v>2210400</v>
      </c>
      <c r="M46" s="39">
        <f t="shared" si="13"/>
        <v>55000</v>
      </c>
      <c r="N46" s="39">
        <f t="shared" si="13"/>
        <v>10500</v>
      </c>
      <c r="O46" s="77">
        <f t="shared" si="13"/>
        <v>0</v>
      </c>
      <c r="P46" s="39">
        <f t="shared" si="13"/>
        <v>88803846</v>
      </c>
      <c r="U46" s="24"/>
    </row>
    <row r="47" spans="1:21" ht="15.75">
      <c r="A47" s="5" t="s">
        <v>47</v>
      </c>
      <c r="B47" s="6" t="s">
        <v>54</v>
      </c>
      <c r="C47" s="6" t="s">
        <v>61</v>
      </c>
      <c r="D47" s="17" t="s">
        <v>66</v>
      </c>
      <c r="E47" s="37">
        <f>17007000+13001-296455+21060-70000-115498</f>
        <v>16559108</v>
      </c>
      <c r="F47" s="22">
        <f t="shared" si="3"/>
        <v>16559108</v>
      </c>
      <c r="G47" s="75">
        <f>10200000+10661+17260-408</f>
        <v>10227513</v>
      </c>
      <c r="H47" s="75">
        <f>2785000-400000-70000</f>
        <v>2315000</v>
      </c>
      <c r="I47" s="29"/>
      <c r="J47" s="36">
        <f t="shared" si="2"/>
        <v>1959302</v>
      </c>
      <c r="K47" s="75">
        <f>6500+3102-300</f>
        <v>9302</v>
      </c>
      <c r="L47" s="29">
        <v>1950000</v>
      </c>
      <c r="M47" s="29">
        <v>55000</v>
      </c>
      <c r="N47" s="29">
        <v>10500</v>
      </c>
      <c r="O47" s="75"/>
      <c r="P47" s="35">
        <f t="shared" si="4"/>
        <v>18518410</v>
      </c>
      <c r="U47" s="28"/>
    </row>
    <row r="48" spans="1:16" ht="33" customHeight="1">
      <c r="A48" s="5" t="s">
        <v>48</v>
      </c>
      <c r="B48" s="6" t="s">
        <v>55</v>
      </c>
      <c r="C48" s="6" t="s">
        <v>62</v>
      </c>
      <c r="D48" s="17" t="s">
        <v>254</v>
      </c>
      <c r="E48" s="37">
        <f>37974300+21289000+435000+60+1121700+95000+99146+144801+254000-706906-29801</f>
        <v>60676300</v>
      </c>
      <c r="F48" s="22">
        <f t="shared" si="3"/>
        <v>60676300</v>
      </c>
      <c r="G48" s="75">
        <f>31126000+9800000+1502000+60+919400+45558+118701-73990+4261</f>
        <v>43441990</v>
      </c>
      <c r="H48" s="75">
        <f>5487600+400000+254000-530000</f>
        <v>5611600</v>
      </c>
      <c r="I48" s="29"/>
      <c r="J48" s="36">
        <f t="shared" si="2"/>
        <v>5035966</v>
      </c>
      <c r="K48" s="75">
        <f>1476000+30000+199879+4842+76715+207400+481006+10000+1463283+826441</f>
        <v>4775566</v>
      </c>
      <c r="L48" s="29">
        <v>260400</v>
      </c>
      <c r="M48" s="29"/>
      <c r="N48" s="29"/>
      <c r="O48" s="75"/>
      <c r="P48" s="35">
        <f t="shared" si="4"/>
        <v>65712266</v>
      </c>
    </row>
    <row r="49" spans="1:16" ht="31.5">
      <c r="A49" s="5" t="s">
        <v>49</v>
      </c>
      <c r="B49" s="6" t="s">
        <v>56</v>
      </c>
      <c r="C49" s="6" t="s">
        <v>63</v>
      </c>
      <c r="D49" s="17" t="s">
        <v>253</v>
      </c>
      <c r="E49" s="37">
        <v>962800</v>
      </c>
      <c r="F49" s="22">
        <f t="shared" si="3"/>
        <v>962800</v>
      </c>
      <c r="G49" s="75">
        <v>740000</v>
      </c>
      <c r="H49" s="75">
        <v>36000</v>
      </c>
      <c r="I49" s="29"/>
      <c r="J49" s="36">
        <f t="shared" si="2"/>
        <v>0</v>
      </c>
      <c r="K49" s="75"/>
      <c r="L49" s="29"/>
      <c r="M49" s="29"/>
      <c r="N49" s="29"/>
      <c r="O49" s="75"/>
      <c r="P49" s="35">
        <f t="shared" si="4"/>
        <v>962800</v>
      </c>
    </row>
    <row r="50" spans="1:16" ht="15.75">
      <c r="A50" s="5" t="s">
        <v>50</v>
      </c>
      <c r="B50" s="6" t="s">
        <v>57</v>
      </c>
      <c r="C50" s="6" t="s">
        <v>64</v>
      </c>
      <c r="D50" s="12" t="s">
        <v>252</v>
      </c>
      <c r="E50" s="37">
        <v>637400</v>
      </c>
      <c r="F50" s="22">
        <f t="shared" si="3"/>
        <v>637400</v>
      </c>
      <c r="G50" s="75">
        <v>470000</v>
      </c>
      <c r="H50" s="75">
        <v>38000</v>
      </c>
      <c r="I50" s="29"/>
      <c r="J50" s="36">
        <f t="shared" si="2"/>
        <v>0</v>
      </c>
      <c r="K50" s="75"/>
      <c r="L50" s="29"/>
      <c r="M50" s="29"/>
      <c r="N50" s="29"/>
      <c r="O50" s="75"/>
      <c r="P50" s="35">
        <f t="shared" si="4"/>
        <v>637400</v>
      </c>
    </row>
    <row r="51" spans="1:16" ht="15.75">
      <c r="A51" s="5" t="s">
        <v>51</v>
      </c>
      <c r="B51" s="6" t="s">
        <v>58</v>
      </c>
      <c r="C51" s="6" t="s">
        <v>64</v>
      </c>
      <c r="D51" s="17" t="s">
        <v>67</v>
      </c>
      <c r="E51" s="37">
        <f>1790000+144801+99146-63630-99146-144801+2230</f>
        <v>1728600</v>
      </c>
      <c r="F51" s="22">
        <f t="shared" si="3"/>
        <v>1728600</v>
      </c>
      <c r="G51" s="75">
        <f>1150000+118701+45558-45558-118701</f>
        <v>1150000</v>
      </c>
      <c r="H51" s="75">
        <v>23000</v>
      </c>
      <c r="I51" s="29"/>
      <c r="J51" s="36">
        <f t="shared" si="2"/>
        <v>0</v>
      </c>
      <c r="K51" s="75">
        <f>76715+4842-4842-76715</f>
        <v>0</v>
      </c>
      <c r="L51" s="29"/>
      <c r="M51" s="29"/>
      <c r="N51" s="29"/>
      <c r="O51" s="75"/>
      <c r="P51" s="35">
        <f t="shared" si="4"/>
        <v>1728600</v>
      </c>
    </row>
    <row r="52" spans="1:16" ht="15.75">
      <c r="A52" s="5" t="s">
        <v>52</v>
      </c>
      <c r="B52" s="6" t="s">
        <v>59</v>
      </c>
      <c r="C52" s="6" t="s">
        <v>64</v>
      </c>
      <c r="D52" s="49" t="s">
        <v>68</v>
      </c>
      <c r="E52" s="37">
        <v>8000</v>
      </c>
      <c r="F52" s="22">
        <f t="shared" si="3"/>
        <v>8000</v>
      </c>
      <c r="G52" s="75"/>
      <c r="H52" s="75"/>
      <c r="I52" s="29"/>
      <c r="J52" s="36">
        <f t="shared" si="2"/>
        <v>0</v>
      </c>
      <c r="K52" s="75"/>
      <c r="L52" s="29"/>
      <c r="M52" s="29"/>
      <c r="N52" s="29"/>
      <c r="O52" s="75"/>
      <c r="P52" s="35">
        <f t="shared" si="4"/>
        <v>8000</v>
      </c>
    </row>
    <row r="53" spans="1:16" ht="15.75">
      <c r="A53" s="5" t="s">
        <v>219</v>
      </c>
      <c r="B53" s="6" t="s">
        <v>218</v>
      </c>
      <c r="C53" s="6" t="s">
        <v>64</v>
      </c>
      <c r="D53" s="49" t="s">
        <v>220</v>
      </c>
      <c r="E53" s="37">
        <v>1236370</v>
      </c>
      <c r="F53" s="22">
        <f t="shared" si="3"/>
        <v>1236370</v>
      </c>
      <c r="G53" s="75">
        <v>1013370</v>
      </c>
      <c r="H53" s="75"/>
      <c r="I53" s="29"/>
      <c r="J53" s="36">
        <f t="shared" si="2"/>
        <v>0</v>
      </c>
      <c r="K53" s="75"/>
      <c r="L53" s="29"/>
      <c r="M53" s="29"/>
      <c r="N53" s="29"/>
      <c r="O53" s="75"/>
      <c r="P53" s="35">
        <f t="shared" si="4"/>
        <v>1236370</v>
      </c>
    </row>
    <row r="54" spans="1:21" s="28" customFormat="1" ht="15.75">
      <c r="A54" s="2" t="s">
        <v>120</v>
      </c>
      <c r="B54" s="3" t="s">
        <v>121</v>
      </c>
      <c r="C54" s="4"/>
      <c r="D54" s="14" t="s">
        <v>122</v>
      </c>
      <c r="E54" s="39">
        <f>E55</f>
        <v>1558400</v>
      </c>
      <c r="F54" s="30">
        <f aca="true" t="shared" si="14" ref="F54:P54">F55</f>
        <v>1558400</v>
      </c>
      <c r="G54" s="77">
        <f t="shared" si="14"/>
        <v>1020000</v>
      </c>
      <c r="H54" s="77">
        <f t="shared" si="14"/>
        <v>213000</v>
      </c>
      <c r="I54" s="30">
        <f t="shared" si="14"/>
        <v>0</v>
      </c>
      <c r="J54" s="36">
        <f t="shared" si="2"/>
        <v>134320</v>
      </c>
      <c r="K54" s="77">
        <f t="shared" si="14"/>
        <v>107320</v>
      </c>
      <c r="L54" s="30">
        <f t="shared" si="14"/>
        <v>27000</v>
      </c>
      <c r="M54" s="30">
        <f t="shared" si="14"/>
        <v>0</v>
      </c>
      <c r="N54" s="30">
        <f t="shared" si="14"/>
        <v>0</v>
      </c>
      <c r="O54" s="77">
        <f t="shared" si="14"/>
        <v>0</v>
      </c>
      <c r="P54" s="39">
        <f t="shared" si="14"/>
        <v>1692720</v>
      </c>
      <c r="U54" s="24"/>
    </row>
    <row r="55" spans="1:21" ht="31.5">
      <c r="A55" s="5" t="s">
        <v>53</v>
      </c>
      <c r="B55" s="6" t="s">
        <v>60</v>
      </c>
      <c r="C55" s="6" t="s">
        <v>65</v>
      </c>
      <c r="D55" s="17" t="s">
        <v>69</v>
      </c>
      <c r="E55" s="37">
        <v>1558400</v>
      </c>
      <c r="F55" s="22">
        <f t="shared" si="3"/>
        <v>1558400</v>
      </c>
      <c r="G55" s="75">
        <v>1020000</v>
      </c>
      <c r="H55" s="75">
        <v>213000</v>
      </c>
      <c r="I55" s="29"/>
      <c r="J55" s="36">
        <f t="shared" si="2"/>
        <v>134320</v>
      </c>
      <c r="K55" s="75">
        <f>73600+33720</f>
        <v>107320</v>
      </c>
      <c r="L55" s="29">
        <v>27000</v>
      </c>
      <c r="M55" s="29"/>
      <c r="N55" s="29"/>
      <c r="O55" s="75"/>
      <c r="P55" s="35">
        <f t="shared" si="4"/>
        <v>1692720</v>
      </c>
      <c r="U55" s="28"/>
    </row>
    <row r="56" spans="1:21" ht="15.75">
      <c r="A56" s="2" t="s">
        <v>236</v>
      </c>
      <c r="B56" s="3" t="s">
        <v>237</v>
      </c>
      <c r="C56" s="3"/>
      <c r="D56" s="16" t="s">
        <v>238</v>
      </c>
      <c r="E56" s="58">
        <f>E57</f>
        <v>85400</v>
      </c>
      <c r="F56" s="58">
        <f aca="true" t="shared" si="15" ref="F56:P56">F57</f>
        <v>85400</v>
      </c>
      <c r="G56" s="79">
        <f t="shared" si="15"/>
        <v>0</v>
      </c>
      <c r="H56" s="79">
        <f t="shared" si="15"/>
        <v>0</v>
      </c>
      <c r="I56" s="58">
        <f t="shared" si="15"/>
        <v>0</v>
      </c>
      <c r="J56" s="58">
        <f t="shared" si="15"/>
        <v>0</v>
      </c>
      <c r="K56" s="79">
        <f t="shared" si="15"/>
        <v>0</v>
      </c>
      <c r="L56" s="58">
        <f t="shared" si="15"/>
        <v>0</v>
      </c>
      <c r="M56" s="58">
        <f t="shared" si="15"/>
        <v>0</v>
      </c>
      <c r="N56" s="58">
        <f t="shared" si="15"/>
        <v>0</v>
      </c>
      <c r="O56" s="79">
        <f t="shared" si="15"/>
        <v>0</v>
      </c>
      <c r="P56" s="58">
        <f t="shared" si="15"/>
        <v>85400</v>
      </c>
      <c r="U56" s="28"/>
    </row>
    <row r="57" spans="1:21" ht="15.75">
      <c r="A57" s="68" t="s">
        <v>226</v>
      </c>
      <c r="B57" s="67" t="s">
        <v>222</v>
      </c>
      <c r="C57" s="67" t="s">
        <v>224</v>
      </c>
      <c r="D57" s="12" t="s">
        <v>227</v>
      </c>
      <c r="E57" s="58">
        <f>24000+63630-2230</f>
        <v>85400</v>
      </c>
      <c r="F57" s="69">
        <f>E57</f>
        <v>85400</v>
      </c>
      <c r="G57" s="79"/>
      <c r="H57" s="79"/>
      <c r="I57" s="69"/>
      <c r="J57" s="58">
        <f>K57+L57+O57</f>
        <v>0</v>
      </c>
      <c r="K57" s="79"/>
      <c r="L57" s="69"/>
      <c r="M57" s="69"/>
      <c r="N57" s="69"/>
      <c r="O57" s="79"/>
      <c r="P57" s="58">
        <f>E57+J57</f>
        <v>85400</v>
      </c>
      <c r="U57" s="28"/>
    </row>
    <row r="58" spans="1:16" ht="31.5">
      <c r="A58" s="18" t="s">
        <v>123</v>
      </c>
      <c r="B58" s="31"/>
      <c r="C58" s="31"/>
      <c r="D58" s="19" t="s">
        <v>148</v>
      </c>
      <c r="E58" s="39">
        <f aca="true" t="shared" si="16" ref="E58:P58">E59+E61+E72</f>
        <v>17142072</v>
      </c>
      <c r="F58" s="39">
        <f t="shared" si="16"/>
        <v>17142072</v>
      </c>
      <c r="G58" s="77">
        <f t="shared" si="16"/>
        <v>10710000</v>
      </c>
      <c r="H58" s="77">
        <f t="shared" si="16"/>
        <v>884000</v>
      </c>
      <c r="I58" s="39">
        <f t="shared" si="16"/>
        <v>0</v>
      </c>
      <c r="J58" s="39">
        <f t="shared" si="16"/>
        <v>388710</v>
      </c>
      <c r="K58" s="77">
        <f t="shared" si="16"/>
        <v>264436</v>
      </c>
      <c r="L58" s="39">
        <f t="shared" si="16"/>
        <v>115004</v>
      </c>
      <c r="M58" s="39">
        <f t="shared" si="16"/>
        <v>0</v>
      </c>
      <c r="N58" s="39">
        <f t="shared" si="16"/>
        <v>0</v>
      </c>
      <c r="O58" s="77">
        <f t="shared" si="16"/>
        <v>9270</v>
      </c>
      <c r="P58" s="39">
        <f t="shared" si="16"/>
        <v>17530782</v>
      </c>
    </row>
    <row r="59" spans="1:16" ht="15.75">
      <c r="A59" s="2" t="s">
        <v>124</v>
      </c>
      <c r="B59" s="3" t="s">
        <v>71</v>
      </c>
      <c r="C59" s="4"/>
      <c r="D59" s="14" t="s">
        <v>72</v>
      </c>
      <c r="E59" s="37">
        <f>E60</f>
        <v>7656147</v>
      </c>
      <c r="F59" s="29">
        <f aca="true" t="shared" si="17" ref="F59:P59">F60</f>
        <v>7656147</v>
      </c>
      <c r="G59" s="75">
        <f t="shared" si="17"/>
        <v>5810000</v>
      </c>
      <c r="H59" s="75">
        <f t="shared" si="17"/>
        <v>274000</v>
      </c>
      <c r="I59" s="29">
        <f t="shared" si="17"/>
        <v>0</v>
      </c>
      <c r="J59" s="36">
        <f t="shared" si="2"/>
        <v>18710</v>
      </c>
      <c r="K59" s="75">
        <f t="shared" si="17"/>
        <v>9436</v>
      </c>
      <c r="L59" s="29">
        <f t="shared" si="17"/>
        <v>4</v>
      </c>
      <c r="M59" s="29">
        <f t="shared" si="17"/>
        <v>0</v>
      </c>
      <c r="N59" s="29">
        <f t="shared" si="17"/>
        <v>0</v>
      </c>
      <c r="O59" s="75">
        <f t="shared" si="17"/>
        <v>9270</v>
      </c>
      <c r="P59" s="37">
        <f t="shared" si="17"/>
        <v>7674857</v>
      </c>
    </row>
    <row r="60" spans="1:16" ht="31.5">
      <c r="A60" s="5" t="s">
        <v>125</v>
      </c>
      <c r="B60" s="6" t="s">
        <v>74</v>
      </c>
      <c r="C60" s="6" t="s">
        <v>75</v>
      </c>
      <c r="D60" s="17" t="s">
        <v>76</v>
      </c>
      <c r="E60" s="37">
        <f>7241000+25000+43147+347000</f>
        <v>7656147</v>
      </c>
      <c r="F60" s="22">
        <f t="shared" si="3"/>
        <v>7656147</v>
      </c>
      <c r="G60" s="75">
        <f>5550000+260000</f>
        <v>5810000</v>
      </c>
      <c r="H60" s="75">
        <v>274000</v>
      </c>
      <c r="I60" s="29"/>
      <c r="J60" s="36">
        <f t="shared" si="2"/>
        <v>18710</v>
      </c>
      <c r="K60" s="75">
        <v>9436</v>
      </c>
      <c r="L60" s="29">
        <v>4</v>
      </c>
      <c r="M60" s="29"/>
      <c r="N60" s="29"/>
      <c r="O60" s="75">
        <v>9270</v>
      </c>
      <c r="P60" s="35">
        <f t="shared" si="4"/>
        <v>7674857</v>
      </c>
    </row>
    <row r="61" spans="1:16" ht="15.75">
      <c r="A61" s="2" t="s">
        <v>126</v>
      </c>
      <c r="B61" s="3" t="s">
        <v>88</v>
      </c>
      <c r="C61" s="4"/>
      <c r="D61" s="14" t="s">
        <v>89</v>
      </c>
      <c r="E61" s="39">
        <f>E62+E63+E64+E65+E66+E67+E68+E69+E71</f>
        <v>9357562</v>
      </c>
      <c r="F61" s="39">
        <f aca="true" t="shared" si="18" ref="F61:P61">F62+F63+F64+F65+F66+F67+F68+F69+F71</f>
        <v>9357562</v>
      </c>
      <c r="G61" s="39">
        <f t="shared" si="18"/>
        <v>4900000</v>
      </c>
      <c r="H61" s="39">
        <f t="shared" si="18"/>
        <v>610000</v>
      </c>
      <c r="I61" s="39">
        <f t="shared" si="18"/>
        <v>0</v>
      </c>
      <c r="J61" s="39">
        <f t="shared" si="18"/>
        <v>370000</v>
      </c>
      <c r="K61" s="39">
        <f t="shared" si="18"/>
        <v>255000</v>
      </c>
      <c r="L61" s="39">
        <f t="shared" si="18"/>
        <v>115000</v>
      </c>
      <c r="M61" s="39">
        <f t="shared" si="18"/>
        <v>0</v>
      </c>
      <c r="N61" s="39">
        <f t="shared" si="18"/>
        <v>0</v>
      </c>
      <c r="O61" s="39">
        <f t="shared" si="18"/>
        <v>0</v>
      </c>
      <c r="P61" s="39">
        <f t="shared" si="18"/>
        <v>9727562</v>
      </c>
    </row>
    <row r="62" spans="1:16" ht="31.5">
      <c r="A62" s="5" t="s">
        <v>128</v>
      </c>
      <c r="B62" s="6" t="s">
        <v>129</v>
      </c>
      <c r="C62" s="6" t="s">
        <v>127</v>
      </c>
      <c r="D62" s="13" t="s">
        <v>130</v>
      </c>
      <c r="E62" s="37">
        <v>20000</v>
      </c>
      <c r="F62" s="22">
        <f t="shared" si="3"/>
        <v>20000</v>
      </c>
      <c r="G62" s="75"/>
      <c r="H62" s="75"/>
      <c r="I62" s="29"/>
      <c r="J62" s="36">
        <f t="shared" si="2"/>
        <v>0</v>
      </c>
      <c r="K62" s="75"/>
      <c r="L62" s="29"/>
      <c r="M62" s="29"/>
      <c r="N62" s="29"/>
      <c r="O62" s="75"/>
      <c r="P62" s="35">
        <f t="shared" si="4"/>
        <v>20000</v>
      </c>
    </row>
    <row r="63" spans="1:16" ht="15.75">
      <c r="A63" s="5" t="s">
        <v>131</v>
      </c>
      <c r="B63" s="6" t="s">
        <v>132</v>
      </c>
      <c r="C63" s="6" t="s">
        <v>92</v>
      </c>
      <c r="D63" s="48" t="s">
        <v>133</v>
      </c>
      <c r="E63" s="37">
        <v>200000</v>
      </c>
      <c r="F63" s="22">
        <f t="shared" si="3"/>
        <v>200000</v>
      </c>
      <c r="G63" s="75"/>
      <c r="H63" s="75"/>
      <c r="I63" s="29"/>
      <c r="J63" s="36">
        <f t="shared" si="2"/>
        <v>0</v>
      </c>
      <c r="K63" s="75"/>
      <c r="L63" s="29"/>
      <c r="M63" s="29"/>
      <c r="N63" s="29"/>
      <c r="O63" s="75"/>
      <c r="P63" s="35">
        <f t="shared" si="4"/>
        <v>200000</v>
      </c>
    </row>
    <row r="64" spans="1:16" ht="31.5">
      <c r="A64" s="5" t="s">
        <v>134</v>
      </c>
      <c r="B64" s="6" t="s">
        <v>135</v>
      </c>
      <c r="C64" s="6" t="s">
        <v>92</v>
      </c>
      <c r="D64" s="48" t="s">
        <v>136</v>
      </c>
      <c r="E64" s="37">
        <v>550000</v>
      </c>
      <c r="F64" s="22">
        <f t="shared" si="3"/>
        <v>550000</v>
      </c>
      <c r="G64" s="75"/>
      <c r="H64" s="75"/>
      <c r="I64" s="29"/>
      <c r="J64" s="36">
        <f t="shared" si="2"/>
        <v>0</v>
      </c>
      <c r="K64" s="75"/>
      <c r="L64" s="29"/>
      <c r="M64" s="29"/>
      <c r="N64" s="29"/>
      <c r="O64" s="75"/>
      <c r="P64" s="35">
        <f t="shared" si="4"/>
        <v>550000</v>
      </c>
    </row>
    <row r="65" spans="1:24" ht="31.5">
      <c r="A65" s="5" t="s">
        <v>149</v>
      </c>
      <c r="B65" s="6" t="s">
        <v>150</v>
      </c>
      <c r="C65" s="6" t="s">
        <v>92</v>
      </c>
      <c r="D65" s="48" t="s">
        <v>151</v>
      </c>
      <c r="E65" s="37">
        <v>250000</v>
      </c>
      <c r="F65" s="22">
        <f t="shared" si="3"/>
        <v>250000</v>
      </c>
      <c r="G65" s="75"/>
      <c r="H65" s="75"/>
      <c r="I65" s="29"/>
      <c r="J65" s="36">
        <f t="shared" si="2"/>
        <v>0</v>
      </c>
      <c r="K65" s="75"/>
      <c r="L65" s="29"/>
      <c r="M65" s="29"/>
      <c r="N65" s="29"/>
      <c r="O65" s="75"/>
      <c r="P65" s="35">
        <f t="shared" si="4"/>
        <v>250000</v>
      </c>
      <c r="X65" s="50"/>
    </row>
    <row r="66" spans="1:16" ht="45" customHeight="1">
      <c r="A66" s="5" t="s">
        <v>137</v>
      </c>
      <c r="B66" s="6" t="s">
        <v>138</v>
      </c>
      <c r="C66" s="6" t="s">
        <v>55</v>
      </c>
      <c r="D66" s="13" t="s">
        <v>139</v>
      </c>
      <c r="E66" s="37">
        <f>7196000+126162</f>
        <v>7322162</v>
      </c>
      <c r="F66" s="22">
        <f aca="true" t="shared" si="19" ref="F66:F106">E66</f>
        <v>7322162</v>
      </c>
      <c r="G66" s="75">
        <f>4800000+100000</f>
        <v>4900000</v>
      </c>
      <c r="H66" s="75">
        <v>610000</v>
      </c>
      <c r="I66" s="29"/>
      <c r="J66" s="36">
        <f t="shared" si="2"/>
        <v>370000</v>
      </c>
      <c r="K66" s="75">
        <f>195000+60000</f>
        <v>255000</v>
      </c>
      <c r="L66" s="29">
        <v>115000</v>
      </c>
      <c r="M66" s="29"/>
      <c r="N66" s="29"/>
      <c r="O66" s="75"/>
      <c r="P66" s="35">
        <f aca="true" t="shared" si="20" ref="P66:P109">E66+J66</f>
        <v>7692162</v>
      </c>
    </row>
    <row r="67" spans="1:16" s="96" customFormat="1" ht="0.75" customHeight="1" hidden="1">
      <c r="A67" s="87" t="s">
        <v>267</v>
      </c>
      <c r="B67" s="88" t="s">
        <v>266</v>
      </c>
      <c r="C67" s="88" t="s">
        <v>34</v>
      </c>
      <c r="D67" s="89" t="s">
        <v>268</v>
      </c>
      <c r="E67" s="90"/>
      <c r="F67" s="91"/>
      <c r="G67" s="92"/>
      <c r="H67" s="92"/>
      <c r="I67" s="93"/>
      <c r="J67" s="94"/>
      <c r="K67" s="92"/>
      <c r="L67" s="93"/>
      <c r="M67" s="93"/>
      <c r="N67" s="93"/>
      <c r="O67" s="92"/>
      <c r="P67" s="95"/>
    </row>
    <row r="68" spans="1:16" ht="63">
      <c r="A68" s="5" t="s">
        <v>140</v>
      </c>
      <c r="B68" s="6" t="s">
        <v>141</v>
      </c>
      <c r="C68" s="6" t="s">
        <v>54</v>
      </c>
      <c r="D68" s="13" t="s">
        <v>216</v>
      </c>
      <c r="E68" s="37">
        <v>220000</v>
      </c>
      <c r="F68" s="22">
        <f t="shared" si="19"/>
        <v>220000</v>
      </c>
      <c r="G68" s="75"/>
      <c r="H68" s="75"/>
      <c r="I68" s="29"/>
      <c r="J68" s="36">
        <f t="shared" si="2"/>
        <v>0</v>
      </c>
      <c r="K68" s="75"/>
      <c r="L68" s="29"/>
      <c r="M68" s="29"/>
      <c r="N68" s="29"/>
      <c r="O68" s="75"/>
      <c r="P68" s="35">
        <f t="shared" si="20"/>
        <v>220000</v>
      </c>
    </row>
    <row r="69" spans="1:16" ht="30" customHeight="1">
      <c r="A69" s="5" t="s">
        <v>142</v>
      </c>
      <c r="B69" s="6" t="s">
        <v>143</v>
      </c>
      <c r="C69" s="6" t="s">
        <v>127</v>
      </c>
      <c r="D69" s="48" t="s">
        <v>144</v>
      </c>
      <c r="E69" s="37">
        <f>65000+10000</f>
        <v>75000</v>
      </c>
      <c r="F69" s="22">
        <f t="shared" si="19"/>
        <v>75000</v>
      </c>
      <c r="G69" s="75"/>
      <c r="H69" s="75"/>
      <c r="I69" s="29"/>
      <c r="J69" s="36">
        <f aca="true" t="shared" si="21" ref="J69:J109">K69+L69+O69</f>
        <v>0</v>
      </c>
      <c r="K69" s="75"/>
      <c r="L69" s="29"/>
      <c r="M69" s="29"/>
      <c r="N69" s="29"/>
      <c r="O69" s="75"/>
      <c r="P69" s="35">
        <f t="shared" si="20"/>
        <v>75000</v>
      </c>
    </row>
    <row r="70" spans="1:16" ht="17.25" customHeight="1" hidden="1">
      <c r="A70" s="5" t="s">
        <v>152</v>
      </c>
      <c r="B70" s="6" t="s">
        <v>153</v>
      </c>
      <c r="C70" s="6" t="s">
        <v>154</v>
      </c>
      <c r="D70" s="48" t="s">
        <v>155</v>
      </c>
      <c r="E70" s="37">
        <v>0</v>
      </c>
      <c r="F70" s="22">
        <f t="shared" si="19"/>
        <v>0</v>
      </c>
      <c r="G70" s="75"/>
      <c r="H70" s="75"/>
      <c r="I70" s="29"/>
      <c r="J70" s="36">
        <f t="shared" si="21"/>
        <v>0</v>
      </c>
      <c r="K70" s="75"/>
      <c r="L70" s="29"/>
      <c r="M70" s="29"/>
      <c r="N70" s="29"/>
      <c r="O70" s="75"/>
      <c r="P70" s="35">
        <f t="shared" si="20"/>
        <v>0</v>
      </c>
    </row>
    <row r="71" spans="1:16" ht="15.75">
      <c r="A71" s="5" t="s">
        <v>145</v>
      </c>
      <c r="B71" s="6" t="s">
        <v>146</v>
      </c>
      <c r="C71" s="6" t="s">
        <v>56</v>
      </c>
      <c r="D71" s="48" t="s">
        <v>147</v>
      </c>
      <c r="E71" s="37">
        <f>672400+48000</f>
        <v>720400</v>
      </c>
      <c r="F71" s="22">
        <f t="shared" si="19"/>
        <v>720400</v>
      </c>
      <c r="G71" s="75"/>
      <c r="H71" s="75"/>
      <c r="I71" s="29"/>
      <c r="J71" s="36">
        <f t="shared" si="21"/>
        <v>0</v>
      </c>
      <c r="K71" s="75"/>
      <c r="L71" s="29"/>
      <c r="M71" s="29"/>
      <c r="N71" s="29"/>
      <c r="O71" s="75"/>
      <c r="P71" s="35">
        <f t="shared" si="20"/>
        <v>720400</v>
      </c>
    </row>
    <row r="72" spans="1:16" s="28" customFormat="1" ht="15.75">
      <c r="A72" s="2" t="s">
        <v>239</v>
      </c>
      <c r="B72" s="3" t="s">
        <v>237</v>
      </c>
      <c r="C72" s="3"/>
      <c r="D72" s="16" t="s">
        <v>238</v>
      </c>
      <c r="E72" s="56">
        <f>E73</f>
        <v>128363</v>
      </c>
      <c r="F72" s="56">
        <f aca="true" t="shared" si="22" ref="F72:P72">F73</f>
        <v>128363</v>
      </c>
      <c r="G72" s="80">
        <f t="shared" si="22"/>
        <v>0</v>
      </c>
      <c r="H72" s="80">
        <f t="shared" si="22"/>
        <v>0</v>
      </c>
      <c r="I72" s="56">
        <f t="shared" si="22"/>
        <v>0</v>
      </c>
      <c r="J72" s="56">
        <f t="shared" si="22"/>
        <v>0</v>
      </c>
      <c r="K72" s="80">
        <f t="shared" si="22"/>
        <v>0</v>
      </c>
      <c r="L72" s="56">
        <f t="shared" si="22"/>
        <v>0</v>
      </c>
      <c r="M72" s="56">
        <f t="shared" si="22"/>
        <v>0</v>
      </c>
      <c r="N72" s="56">
        <f t="shared" si="22"/>
        <v>0</v>
      </c>
      <c r="O72" s="80">
        <f t="shared" si="22"/>
        <v>0</v>
      </c>
      <c r="P72" s="56">
        <f t="shared" si="22"/>
        <v>128363</v>
      </c>
    </row>
    <row r="73" spans="1:16" ht="15.75">
      <c r="A73" s="120" t="s">
        <v>228</v>
      </c>
      <c r="B73" s="104" t="s">
        <v>222</v>
      </c>
      <c r="C73" s="104" t="s">
        <v>224</v>
      </c>
      <c r="D73" s="12" t="s">
        <v>227</v>
      </c>
      <c r="E73" s="57">
        <f>E74+E75</f>
        <v>128363</v>
      </c>
      <c r="F73" s="57">
        <f aca="true" t="shared" si="23" ref="F73:P73">F74+F75</f>
        <v>128363</v>
      </c>
      <c r="G73" s="81">
        <f t="shared" si="23"/>
        <v>0</v>
      </c>
      <c r="H73" s="81">
        <f t="shared" si="23"/>
        <v>0</v>
      </c>
      <c r="I73" s="57">
        <f t="shared" si="23"/>
        <v>0</v>
      </c>
      <c r="J73" s="57">
        <f t="shared" si="23"/>
        <v>0</v>
      </c>
      <c r="K73" s="81">
        <f t="shared" si="23"/>
        <v>0</v>
      </c>
      <c r="L73" s="57">
        <f t="shared" si="23"/>
        <v>0</v>
      </c>
      <c r="M73" s="57">
        <f t="shared" si="23"/>
        <v>0</v>
      </c>
      <c r="N73" s="57">
        <f t="shared" si="23"/>
        <v>0</v>
      </c>
      <c r="O73" s="81">
        <f t="shared" si="23"/>
        <v>0</v>
      </c>
      <c r="P73" s="57">
        <f t="shared" si="23"/>
        <v>128363</v>
      </c>
    </row>
    <row r="74" spans="1:16" s="65" customFormat="1" ht="15.75">
      <c r="A74" s="105"/>
      <c r="B74" s="105"/>
      <c r="C74" s="105"/>
      <c r="D74" s="60" t="s">
        <v>249</v>
      </c>
      <c r="E74" s="61">
        <f>130000-43147</f>
        <v>86853</v>
      </c>
      <c r="F74" s="62">
        <f t="shared" si="19"/>
        <v>86853</v>
      </c>
      <c r="G74" s="83"/>
      <c r="H74" s="83"/>
      <c r="I74" s="63"/>
      <c r="J74" s="66">
        <f t="shared" si="21"/>
        <v>0</v>
      </c>
      <c r="K74" s="82"/>
      <c r="L74" s="63"/>
      <c r="M74" s="63"/>
      <c r="N74" s="63"/>
      <c r="O74" s="83"/>
      <c r="P74" s="64">
        <f t="shared" si="20"/>
        <v>86853</v>
      </c>
    </row>
    <row r="75" spans="1:16" s="65" customFormat="1" ht="16.5" customHeight="1">
      <c r="A75" s="105"/>
      <c r="B75" s="105"/>
      <c r="C75" s="105"/>
      <c r="D75" s="60" t="s">
        <v>250</v>
      </c>
      <c r="E75" s="61">
        <f>47000-5490</f>
        <v>41510</v>
      </c>
      <c r="F75" s="62">
        <f t="shared" si="19"/>
        <v>41510</v>
      </c>
      <c r="G75" s="83"/>
      <c r="H75" s="83"/>
      <c r="I75" s="63"/>
      <c r="J75" s="66">
        <f t="shared" si="21"/>
        <v>0</v>
      </c>
      <c r="K75" s="82"/>
      <c r="L75" s="63"/>
      <c r="M75" s="63"/>
      <c r="N75" s="63"/>
      <c r="O75" s="83"/>
      <c r="P75" s="64">
        <f t="shared" si="20"/>
        <v>41510</v>
      </c>
    </row>
    <row r="76" spans="1:16" ht="31.5">
      <c r="A76" s="9">
        <v>10</v>
      </c>
      <c r="B76" s="27"/>
      <c r="C76" s="27"/>
      <c r="D76" s="20" t="s">
        <v>265</v>
      </c>
      <c r="E76" s="39">
        <f aca="true" t="shared" si="24" ref="E76:P76">E77+E79+E81+E87</f>
        <v>7742000</v>
      </c>
      <c r="F76" s="39">
        <f t="shared" si="24"/>
        <v>7742000</v>
      </c>
      <c r="G76" s="77">
        <f t="shared" si="24"/>
        <v>5412400</v>
      </c>
      <c r="H76" s="77">
        <f t="shared" si="24"/>
        <v>615500</v>
      </c>
      <c r="I76" s="39">
        <f t="shared" si="24"/>
        <v>0</v>
      </c>
      <c r="J76" s="39">
        <f t="shared" si="24"/>
        <v>583000</v>
      </c>
      <c r="K76" s="77">
        <f t="shared" si="24"/>
        <v>0</v>
      </c>
      <c r="L76" s="39">
        <f t="shared" si="24"/>
        <v>583000</v>
      </c>
      <c r="M76" s="39">
        <f t="shared" si="24"/>
        <v>315000</v>
      </c>
      <c r="N76" s="39">
        <f t="shared" si="24"/>
        <v>103500</v>
      </c>
      <c r="O76" s="77">
        <f t="shared" si="24"/>
        <v>0</v>
      </c>
      <c r="P76" s="39">
        <f t="shared" si="24"/>
        <v>8325000</v>
      </c>
    </row>
    <row r="77" spans="1:16" ht="15.75">
      <c r="A77" s="2" t="s">
        <v>156</v>
      </c>
      <c r="B77" s="3" t="s">
        <v>71</v>
      </c>
      <c r="C77" s="4"/>
      <c r="D77" s="14" t="s">
        <v>72</v>
      </c>
      <c r="E77" s="39">
        <f>E78</f>
        <v>786339.83</v>
      </c>
      <c r="F77" s="30">
        <f aca="true" t="shared" si="25" ref="F77:P77">F78</f>
        <v>786339.83</v>
      </c>
      <c r="G77" s="77">
        <f t="shared" si="25"/>
        <v>634970.05</v>
      </c>
      <c r="H77" s="77">
        <f t="shared" si="25"/>
        <v>0</v>
      </c>
      <c r="I77" s="30">
        <f t="shared" si="25"/>
        <v>0</v>
      </c>
      <c r="J77" s="36">
        <f t="shared" si="21"/>
        <v>0</v>
      </c>
      <c r="K77" s="77">
        <f t="shared" si="25"/>
        <v>0</v>
      </c>
      <c r="L77" s="30">
        <f t="shared" si="25"/>
        <v>0</v>
      </c>
      <c r="M77" s="30">
        <f t="shared" si="25"/>
        <v>0</v>
      </c>
      <c r="N77" s="30">
        <f t="shared" si="25"/>
        <v>0</v>
      </c>
      <c r="O77" s="77">
        <f t="shared" si="25"/>
        <v>0</v>
      </c>
      <c r="P77" s="39">
        <f t="shared" si="25"/>
        <v>786339.83</v>
      </c>
    </row>
    <row r="78" spans="1:18" ht="31.5">
      <c r="A78" s="5" t="s">
        <v>157</v>
      </c>
      <c r="B78" s="6" t="s">
        <v>74</v>
      </c>
      <c r="C78" s="6" t="s">
        <v>75</v>
      </c>
      <c r="D78" s="17" t="s">
        <v>76</v>
      </c>
      <c r="E78" s="37">
        <f>587200+199139.83</f>
        <v>786339.83</v>
      </c>
      <c r="F78" s="22">
        <f t="shared" si="19"/>
        <v>786339.83</v>
      </c>
      <c r="G78" s="75">
        <f>480000+154970.05</f>
        <v>634970.05</v>
      </c>
      <c r="H78" s="75"/>
      <c r="I78" s="29"/>
      <c r="J78" s="36">
        <f t="shared" si="21"/>
        <v>0</v>
      </c>
      <c r="K78" s="75"/>
      <c r="L78" s="32"/>
      <c r="M78" s="29"/>
      <c r="N78" s="29"/>
      <c r="O78" s="75"/>
      <c r="P78" s="35">
        <f t="shared" si="20"/>
        <v>786339.83</v>
      </c>
      <c r="R78" s="84"/>
    </row>
    <row r="79" spans="1:18" ht="15.75">
      <c r="A79" s="2" t="s">
        <v>158</v>
      </c>
      <c r="B79" s="3" t="s">
        <v>118</v>
      </c>
      <c r="C79" s="4"/>
      <c r="D79" s="14" t="s">
        <v>119</v>
      </c>
      <c r="E79" s="39">
        <f>E80</f>
        <v>3017900</v>
      </c>
      <c r="F79" s="30">
        <f aca="true" t="shared" si="26" ref="F79:P79">F80</f>
        <v>3017900</v>
      </c>
      <c r="G79" s="77">
        <f t="shared" si="26"/>
        <v>2300000</v>
      </c>
      <c r="H79" s="77">
        <f t="shared" si="26"/>
        <v>171000</v>
      </c>
      <c r="I79" s="30">
        <f t="shared" si="26"/>
        <v>0</v>
      </c>
      <c r="J79" s="36">
        <f t="shared" si="21"/>
        <v>240000</v>
      </c>
      <c r="K79" s="77">
        <f t="shared" si="26"/>
        <v>0</v>
      </c>
      <c r="L79" s="30">
        <f t="shared" si="26"/>
        <v>240000</v>
      </c>
      <c r="M79" s="30">
        <f t="shared" si="26"/>
        <v>170000</v>
      </c>
      <c r="N79" s="30">
        <f t="shared" si="26"/>
        <v>15500</v>
      </c>
      <c r="O79" s="77">
        <f t="shared" si="26"/>
        <v>0</v>
      </c>
      <c r="P79" s="39">
        <f t="shared" si="26"/>
        <v>3257900</v>
      </c>
      <c r="R79" s="84"/>
    </row>
    <row r="80" spans="1:16" ht="17.25" customHeight="1">
      <c r="A80" s="5" t="s">
        <v>159</v>
      </c>
      <c r="B80" s="6" t="s">
        <v>160</v>
      </c>
      <c r="C80" s="6" t="s">
        <v>63</v>
      </c>
      <c r="D80" s="17" t="s">
        <v>251</v>
      </c>
      <c r="E80" s="37">
        <f>2954000-2000-6000+65000+5400+1500</f>
        <v>3017900</v>
      </c>
      <c r="F80" s="22">
        <f t="shared" si="19"/>
        <v>3017900</v>
      </c>
      <c r="G80" s="75">
        <v>2300000</v>
      </c>
      <c r="H80" s="75">
        <f>106000+65000</f>
        <v>171000</v>
      </c>
      <c r="I80" s="29"/>
      <c r="J80" s="36">
        <f t="shared" si="21"/>
        <v>240000</v>
      </c>
      <c r="K80" s="75"/>
      <c r="L80" s="29">
        <v>240000</v>
      </c>
      <c r="M80" s="29">
        <v>170000</v>
      </c>
      <c r="N80" s="29">
        <v>15500</v>
      </c>
      <c r="O80" s="75"/>
      <c r="P80" s="35">
        <f t="shared" si="20"/>
        <v>3257900</v>
      </c>
    </row>
    <row r="81" spans="1:16" ht="15.75">
      <c r="A81" s="2" t="s">
        <v>161</v>
      </c>
      <c r="B81" s="3" t="s">
        <v>162</v>
      </c>
      <c r="C81" s="4"/>
      <c r="D81" s="14" t="s">
        <v>163</v>
      </c>
      <c r="E81" s="39">
        <f>E82+E83+E84+E85+E86</f>
        <v>3924315.17</v>
      </c>
      <c r="F81" s="30">
        <f aca="true" t="shared" si="27" ref="F81:P81">F82+F83+F84+F85+F86</f>
        <v>3924315.17</v>
      </c>
      <c r="G81" s="77">
        <f t="shared" si="27"/>
        <v>2477429.95</v>
      </c>
      <c r="H81" s="77">
        <f t="shared" si="27"/>
        <v>444500</v>
      </c>
      <c r="I81" s="30">
        <f t="shared" si="27"/>
        <v>0</v>
      </c>
      <c r="J81" s="36">
        <f t="shared" si="21"/>
        <v>343000</v>
      </c>
      <c r="K81" s="77">
        <f t="shared" si="27"/>
        <v>0</v>
      </c>
      <c r="L81" s="30">
        <f t="shared" si="27"/>
        <v>343000</v>
      </c>
      <c r="M81" s="30">
        <f t="shared" si="27"/>
        <v>145000</v>
      </c>
      <c r="N81" s="30">
        <f t="shared" si="27"/>
        <v>88000</v>
      </c>
      <c r="O81" s="77">
        <f t="shared" si="27"/>
        <v>0</v>
      </c>
      <c r="P81" s="39">
        <f t="shared" si="27"/>
        <v>4267315.17</v>
      </c>
    </row>
    <row r="82" spans="1:16" ht="31.5">
      <c r="A82" s="5" t="s">
        <v>164</v>
      </c>
      <c r="B82" s="6" t="s">
        <v>165</v>
      </c>
      <c r="C82" s="6" t="s">
        <v>166</v>
      </c>
      <c r="D82" s="17" t="s">
        <v>167</v>
      </c>
      <c r="E82" s="37">
        <v>250000</v>
      </c>
      <c r="F82" s="22">
        <f t="shared" si="19"/>
        <v>250000</v>
      </c>
      <c r="G82" s="75"/>
      <c r="H82" s="75"/>
      <c r="I82" s="29"/>
      <c r="J82" s="36">
        <f t="shared" si="21"/>
        <v>0</v>
      </c>
      <c r="K82" s="75"/>
      <c r="L82" s="29"/>
      <c r="M82" s="29"/>
      <c r="N82" s="29"/>
      <c r="O82" s="75"/>
      <c r="P82" s="35">
        <f t="shared" si="20"/>
        <v>250000</v>
      </c>
    </row>
    <row r="83" spans="1:16" ht="15.75">
      <c r="A83" s="5" t="s">
        <v>168</v>
      </c>
      <c r="B83" s="6" t="s">
        <v>169</v>
      </c>
      <c r="C83" s="6" t="s">
        <v>170</v>
      </c>
      <c r="D83" s="17" t="s">
        <v>171</v>
      </c>
      <c r="E83" s="37">
        <f>951200+2000+8000</f>
        <v>961200</v>
      </c>
      <c r="F83" s="22">
        <f t="shared" si="19"/>
        <v>961200</v>
      </c>
      <c r="G83" s="75">
        <v>710000</v>
      </c>
      <c r="H83" s="75">
        <v>74000</v>
      </c>
      <c r="I83" s="29"/>
      <c r="J83" s="36">
        <f t="shared" si="21"/>
        <v>0</v>
      </c>
      <c r="K83" s="75"/>
      <c r="L83" s="29"/>
      <c r="M83" s="29"/>
      <c r="N83" s="29"/>
      <c r="O83" s="75"/>
      <c r="P83" s="35">
        <f t="shared" si="20"/>
        <v>961200</v>
      </c>
    </row>
    <row r="84" spans="1:16" ht="15.75">
      <c r="A84" s="5" t="s">
        <v>172</v>
      </c>
      <c r="B84" s="6" t="s">
        <v>173</v>
      </c>
      <c r="C84" s="6" t="s">
        <v>170</v>
      </c>
      <c r="D84" s="17" t="s">
        <v>174</v>
      </c>
      <c r="E84" s="37">
        <f>460000+2000</f>
        <v>462000</v>
      </c>
      <c r="F84" s="22">
        <f t="shared" si="19"/>
        <v>462000</v>
      </c>
      <c r="G84" s="75">
        <v>350000</v>
      </c>
      <c r="H84" s="75">
        <v>31500</v>
      </c>
      <c r="I84" s="29"/>
      <c r="J84" s="36">
        <f t="shared" si="21"/>
        <v>3000</v>
      </c>
      <c r="K84" s="75"/>
      <c r="L84" s="29">
        <v>3000</v>
      </c>
      <c r="M84" s="29"/>
      <c r="N84" s="29"/>
      <c r="O84" s="75"/>
      <c r="P84" s="35">
        <f t="shared" si="20"/>
        <v>465000</v>
      </c>
    </row>
    <row r="85" spans="1:16" ht="31.5">
      <c r="A85" s="5" t="s">
        <v>175</v>
      </c>
      <c r="B85" s="6" t="s">
        <v>176</v>
      </c>
      <c r="C85" s="6" t="s">
        <v>177</v>
      </c>
      <c r="D85" s="17" t="s">
        <v>178</v>
      </c>
      <c r="E85" s="37">
        <f>2066400+56360+16000-7000</f>
        <v>2131760</v>
      </c>
      <c r="F85" s="22">
        <f t="shared" si="19"/>
        <v>2131760</v>
      </c>
      <c r="G85" s="75">
        <v>1320000</v>
      </c>
      <c r="H85" s="75">
        <f>362000-23000</f>
        <v>339000</v>
      </c>
      <c r="I85" s="29"/>
      <c r="J85" s="36">
        <f t="shared" si="21"/>
        <v>340000</v>
      </c>
      <c r="K85" s="75"/>
      <c r="L85" s="29">
        <v>340000</v>
      </c>
      <c r="M85" s="29">
        <f>95000+50000</f>
        <v>145000</v>
      </c>
      <c r="N85" s="29">
        <v>88000</v>
      </c>
      <c r="O85" s="75"/>
      <c r="P85" s="35">
        <f t="shared" si="20"/>
        <v>2471760</v>
      </c>
    </row>
    <row r="86" spans="1:16" ht="31.5">
      <c r="A86" s="68" t="s">
        <v>179</v>
      </c>
      <c r="B86" s="67" t="s">
        <v>180</v>
      </c>
      <c r="C86" s="67" t="s">
        <v>181</v>
      </c>
      <c r="D86" s="17" t="s">
        <v>233</v>
      </c>
      <c r="E86" s="37">
        <f>317100+3640-8640-192744.83</f>
        <v>119355.17000000001</v>
      </c>
      <c r="F86" s="29">
        <f>E86</f>
        <v>119355.17000000001</v>
      </c>
      <c r="G86" s="75">
        <f>255000-157570.05</f>
        <v>97429.95000000001</v>
      </c>
      <c r="H86" s="75"/>
      <c r="I86" s="29"/>
      <c r="J86" s="36">
        <f t="shared" si="21"/>
        <v>0</v>
      </c>
      <c r="K86" s="75"/>
      <c r="L86" s="29"/>
      <c r="M86" s="29"/>
      <c r="N86" s="29"/>
      <c r="O86" s="75"/>
      <c r="P86" s="35">
        <f t="shared" si="20"/>
        <v>119355.17000000001</v>
      </c>
    </row>
    <row r="87" spans="1:16" ht="15.75">
      <c r="A87" s="2" t="s">
        <v>242</v>
      </c>
      <c r="B87" s="3" t="s">
        <v>237</v>
      </c>
      <c r="C87" s="3"/>
      <c r="D87" s="16" t="s">
        <v>238</v>
      </c>
      <c r="E87" s="56">
        <f>E88</f>
        <v>13445</v>
      </c>
      <c r="F87" s="56">
        <f aca="true" t="shared" si="28" ref="F87:P87">F88</f>
        <v>13445</v>
      </c>
      <c r="G87" s="80">
        <f t="shared" si="28"/>
        <v>0</v>
      </c>
      <c r="H87" s="80">
        <f t="shared" si="28"/>
        <v>0</v>
      </c>
      <c r="I87" s="56">
        <f t="shared" si="28"/>
        <v>0</v>
      </c>
      <c r="J87" s="56">
        <f t="shared" si="28"/>
        <v>0</v>
      </c>
      <c r="K87" s="80">
        <f t="shared" si="28"/>
        <v>0</v>
      </c>
      <c r="L87" s="56">
        <f t="shared" si="28"/>
        <v>0</v>
      </c>
      <c r="M87" s="56">
        <f t="shared" si="28"/>
        <v>0</v>
      </c>
      <c r="N87" s="56">
        <f t="shared" si="28"/>
        <v>0</v>
      </c>
      <c r="O87" s="80">
        <f t="shared" si="28"/>
        <v>0</v>
      </c>
      <c r="P87" s="56">
        <f t="shared" si="28"/>
        <v>13445</v>
      </c>
    </row>
    <row r="88" spans="1:16" ht="15.75">
      <c r="A88" s="68" t="s">
        <v>229</v>
      </c>
      <c r="B88" s="67" t="s">
        <v>222</v>
      </c>
      <c r="C88" s="67" t="s">
        <v>224</v>
      </c>
      <c r="D88" s="12" t="s">
        <v>227</v>
      </c>
      <c r="E88" s="57">
        <f>17000+8640-12195</f>
        <v>13445</v>
      </c>
      <c r="F88" s="70">
        <f>E88</f>
        <v>13445</v>
      </c>
      <c r="G88" s="81"/>
      <c r="H88" s="81"/>
      <c r="I88" s="70"/>
      <c r="J88" s="57">
        <f>K88+L88+O88</f>
        <v>0</v>
      </c>
      <c r="K88" s="81"/>
      <c r="L88" s="70"/>
      <c r="M88" s="70"/>
      <c r="N88" s="70"/>
      <c r="O88" s="81"/>
      <c r="P88" s="57">
        <f>E88+J88</f>
        <v>13445</v>
      </c>
    </row>
    <row r="89" spans="1:16" ht="31.5">
      <c r="A89" s="9">
        <v>11</v>
      </c>
      <c r="B89" s="27"/>
      <c r="C89" s="27"/>
      <c r="D89" s="20" t="s">
        <v>182</v>
      </c>
      <c r="E89" s="39">
        <f>E90+E92+E94+E98</f>
        <v>2268700</v>
      </c>
      <c r="F89" s="39">
        <f aca="true" t="shared" si="29" ref="F89:P89">F90+F92+F94+F98</f>
        <v>2268700</v>
      </c>
      <c r="G89" s="77">
        <f t="shared" si="29"/>
        <v>1302000</v>
      </c>
      <c r="H89" s="77">
        <f t="shared" si="29"/>
        <v>196300</v>
      </c>
      <c r="I89" s="39">
        <f t="shared" si="29"/>
        <v>0</v>
      </c>
      <c r="J89" s="39">
        <f t="shared" si="29"/>
        <v>210857</v>
      </c>
      <c r="K89" s="77">
        <f t="shared" si="29"/>
        <v>210857</v>
      </c>
      <c r="L89" s="39">
        <f t="shared" si="29"/>
        <v>0</v>
      </c>
      <c r="M89" s="39">
        <f t="shared" si="29"/>
        <v>0</v>
      </c>
      <c r="N89" s="39">
        <f t="shared" si="29"/>
        <v>0</v>
      </c>
      <c r="O89" s="77">
        <f t="shared" si="29"/>
        <v>0</v>
      </c>
      <c r="P89" s="39">
        <f t="shared" si="29"/>
        <v>2479557</v>
      </c>
    </row>
    <row r="90" spans="1:21" s="28" customFormat="1" ht="15.75">
      <c r="A90" s="2" t="s">
        <v>183</v>
      </c>
      <c r="B90" s="3" t="s">
        <v>71</v>
      </c>
      <c r="C90" s="4"/>
      <c r="D90" s="14" t="s">
        <v>72</v>
      </c>
      <c r="E90" s="39">
        <f>E91</f>
        <v>429400</v>
      </c>
      <c r="F90" s="30">
        <f aca="true" t="shared" si="30" ref="F90:P90">F91</f>
        <v>429400</v>
      </c>
      <c r="G90" s="77">
        <f t="shared" si="30"/>
        <v>352000</v>
      </c>
      <c r="H90" s="77">
        <f t="shared" si="30"/>
        <v>0</v>
      </c>
      <c r="I90" s="30">
        <f t="shared" si="30"/>
        <v>0</v>
      </c>
      <c r="J90" s="36">
        <f t="shared" si="21"/>
        <v>0</v>
      </c>
      <c r="K90" s="77">
        <f t="shared" si="30"/>
        <v>0</v>
      </c>
      <c r="L90" s="30">
        <f t="shared" si="30"/>
        <v>0</v>
      </c>
      <c r="M90" s="30">
        <f t="shared" si="30"/>
        <v>0</v>
      </c>
      <c r="N90" s="30">
        <f t="shared" si="30"/>
        <v>0</v>
      </c>
      <c r="O90" s="77">
        <f t="shared" si="30"/>
        <v>0</v>
      </c>
      <c r="P90" s="39">
        <f t="shared" si="30"/>
        <v>429400</v>
      </c>
      <c r="U90" s="24"/>
    </row>
    <row r="91" spans="1:21" ht="31.5">
      <c r="A91" s="5" t="s">
        <v>184</v>
      </c>
      <c r="B91" s="6" t="s">
        <v>74</v>
      </c>
      <c r="C91" s="6" t="s">
        <v>75</v>
      </c>
      <c r="D91" s="17" t="s">
        <v>76</v>
      </c>
      <c r="E91" s="37">
        <v>429400</v>
      </c>
      <c r="F91" s="22">
        <f t="shared" si="19"/>
        <v>429400</v>
      </c>
      <c r="G91" s="75">
        <v>352000</v>
      </c>
      <c r="H91" s="75"/>
      <c r="I91" s="29"/>
      <c r="J91" s="36">
        <f t="shared" si="21"/>
        <v>0</v>
      </c>
      <c r="K91" s="75"/>
      <c r="L91" s="29"/>
      <c r="M91" s="29"/>
      <c r="N91" s="29"/>
      <c r="O91" s="75"/>
      <c r="P91" s="35">
        <f t="shared" si="20"/>
        <v>429400</v>
      </c>
      <c r="U91" s="28"/>
    </row>
    <row r="92" spans="1:16" ht="15.75">
      <c r="A92" s="2" t="s">
        <v>185</v>
      </c>
      <c r="B92" s="3" t="s">
        <v>88</v>
      </c>
      <c r="C92" s="3"/>
      <c r="D92" s="21" t="s">
        <v>89</v>
      </c>
      <c r="E92" s="39">
        <f>E93</f>
        <v>98000</v>
      </c>
      <c r="F92" s="30">
        <f aca="true" t="shared" si="31" ref="F92:P92">F93</f>
        <v>98000</v>
      </c>
      <c r="G92" s="77">
        <f t="shared" si="31"/>
        <v>0</v>
      </c>
      <c r="H92" s="77">
        <f t="shared" si="31"/>
        <v>0</v>
      </c>
      <c r="I92" s="30">
        <f t="shared" si="31"/>
        <v>0</v>
      </c>
      <c r="J92" s="36">
        <f t="shared" si="21"/>
        <v>0</v>
      </c>
      <c r="K92" s="77">
        <f t="shared" si="31"/>
        <v>0</v>
      </c>
      <c r="L92" s="30">
        <f t="shared" si="31"/>
        <v>0</v>
      </c>
      <c r="M92" s="30">
        <f t="shared" si="31"/>
        <v>0</v>
      </c>
      <c r="N92" s="30">
        <f t="shared" si="31"/>
        <v>0</v>
      </c>
      <c r="O92" s="77">
        <f t="shared" si="31"/>
        <v>0</v>
      </c>
      <c r="P92" s="39">
        <f t="shared" si="31"/>
        <v>98000</v>
      </c>
    </row>
    <row r="93" spans="1:16" ht="15.75">
      <c r="A93" s="5" t="s">
        <v>186</v>
      </c>
      <c r="B93" s="6" t="s">
        <v>187</v>
      </c>
      <c r="C93" s="6" t="s">
        <v>34</v>
      </c>
      <c r="D93" s="17" t="s">
        <v>188</v>
      </c>
      <c r="E93" s="37">
        <f>88000+10000</f>
        <v>98000</v>
      </c>
      <c r="F93" s="22">
        <f t="shared" si="19"/>
        <v>98000</v>
      </c>
      <c r="G93" s="75"/>
      <c r="H93" s="75"/>
      <c r="I93" s="29"/>
      <c r="J93" s="36">
        <f t="shared" si="21"/>
        <v>0</v>
      </c>
      <c r="K93" s="75"/>
      <c r="L93" s="29"/>
      <c r="M93" s="29"/>
      <c r="N93" s="29"/>
      <c r="O93" s="75"/>
      <c r="P93" s="35">
        <f t="shared" si="20"/>
        <v>98000</v>
      </c>
    </row>
    <row r="94" spans="1:16" ht="15.75">
      <c r="A94" s="2" t="s">
        <v>189</v>
      </c>
      <c r="B94" s="3" t="s">
        <v>121</v>
      </c>
      <c r="C94" s="3"/>
      <c r="D94" s="14" t="s">
        <v>122</v>
      </c>
      <c r="E94" s="39">
        <f>E95+E96+E97</f>
        <v>1738300</v>
      </c>
      <c r="F94" s="30">
        <f aca="true" t="shared" si="32" ref="F94:P94">F95+F96+F97</f>
        <v>1738300</v>
      </c>
      <c r="G94" s="77">
        <f t="shared" si="32"/>
        <v>950000</v>
      </c>
      <c r="H94" s="77">
        <f t="shared" si="32"/>
        <v>196300</v>
      </c>
      <c r="I94" s="30">
        <f t="shared" si="32"/>
        <v>0</v>
      </c>
      <c r="J94" s="36">
        <f t="shared" si="21"/>
        <v>210857</v>
      </c>
      <c r="K94" s="77">
        <f t="shared" si="32"/>
        <v>210857</v>
      </c>
      <c r="L94" s="30">
        <f t="shared" si="32"/>
        <v>0</v>
      </c>
      <c r="M94" s="30">
        <f t="shared" si="32"/>
        <v>0</v>
      </c>
      <c r="N94" s="30">
        <f t="shared" si="32"/>
        <v>0</v>
      </c>
      <c r="O94" s="77">
        <f t="shared" si="32"/>
        <v>0</v>
      </c>
      <c r="P94" s="39">
        <f t="shared" si="32"/>
        <v>1949157</v>
      </c>
    </row>
    <row r="95" spans="1:16" ht="31.5">
      <c r="A95" s="5" t="s">
        <v>190</v>
      </c>
      <c r="B95" s="6" t="s">
        <v>191</v>
      </c>
      <c r="C95" s="6" t="s">
        <v>65</v>
      </c>
      <c r="D95" s="15" t="s">
        <v>192</v>
      </c>
      <c r="E95" s="37">
        <f>150000+150000</f>
        <v>300000</v>
      </c>
      <c r="F95" s="22">
        <f t="shared" si="19"/>
        <v>300000</v>
      </c>
      <c r="G95" s="75"/>
      <c r="H95" s="75"/>
      <c r="I95" s="29"/>
      <c r="J95" s="36">
        <f t="shared" si="21"/>
        <v>0</v>
      </c>
      <c r="K95" s="75"/>
      <c r="L95" s="29"/>
      <c r="M95" s="29"/>
      <c r="N95" s="29"/>
      <c r="O95" s="75"/>
      <c r="P95" s="35">
        <f t="shared" si="20"/>
        <v>300000</v>
      </c>
    </row>
    <row r="96" spans="1:16" ht="31.5">
      <c r="A96" s="5" t="s">
        <v>193</v>
      </c>
      <c r="B96" s="6" t="s">
        <v>194</v>
      </c>
      <c r="C96" s="6" t="s">
        <v>65</v>
      </c>
      <c r="D96" s="17" t="s">
        <v>195</v>
      </c>
      <c r="E96" s="37">
        <v>3000</v>
      </c>
      <c r="F96" s="22">
        <f t="shared" si="19"/>
        <v>3000</v>
      </c>
      <c r="G96" s="75"/>
      <c r="H96" s="75"/>
      <c r="I96" s="29"/>
      <c r="J96" s="36">
        <f t="shared" si="21"/>
        <v>0</v>
      </c>
      <c r="K96" s="75"/>
      <c r="L96" s="29"/>
      <c r="M96" s="29"/>
      <c r="N96" s="29"/>
      <c r="O96" s="75"/>
      <c r="P96" s="35">
        <f t="shared" si="20"/>
        <v>3000</v>
      </c>
    </row>
    <row r="97" spans="1:16" ht="15.75">
      <c r="A97" s="5" t="s">
        <v>196</v>
      </c>
      <c r="B97" s="6" t="s">
        <v>197</v>
      </c>
      <c r="C97" s="6" t="s">
        <v>65</v>
      </c>
      <c r="D97" s="17" t="s">
        <v>198</v>
      </c>
      <c r="E97" s="37">
        <f>1404300+30000+1000</f>
        <v>1435300</v>
      </c>
      <c r="F97" s="22">
        <f t="shared" si="19"/>
        <v>1435300</v>
      </c>
      <c r="G97" s="75">
        <v>950000</v>
      </c>
      <c r="H97" s="75">
        <v>196300</v>
      </c>
      <c r="I97" s="29"/>
      <c r="J97" s="36">
        <f t="shared" si="21"/>
        <v>210857</v>
      </c>
      <c r="K97" s="75">
        <f>1476000-85155-1305000+150000-24988</f>
        <v>210857</v>
      </c>
      <c r="L97" s="29"/>
      <c r="M97" s="29"/>
      <c r="N97" s="29"/>
      <c r="O97" s="75"/>
      <c r="P97" s="35">
        <f t="shared" si="20"/>
        <v>1646157</v>
      </c>
    </row>
    <row r="98" spans="1:16" ht="15.75">
      <c r="A98" s="2" t="s">
        <v>241</v>
      </c>
      <c r="B98" s="3" t="s">
        <v>237</v>
      </c>
      <c r="C98" s="3"/>
      <c r="D98" s="16" t="s">
        <v>238</v>
      </c>
      <c r="E98" s="56">
        <f>E99</f>
        <v>3000</v>
      </c>
      <c r="F98" s="56">
        <f aca="true" t="shared" si="33" ref="F98:P98">F99</f>
        <v>3000</v>
      </c>
      <c r="G98" s="80">
        <f t="shared" si="33"/>
        <v>0</v>
      </c>
      <c r="H98" s="80">
        <f t="shared" si="33"/>
        <v>0</v>
      </c>
      <c r="I98" s="56">
        <f t="shared" si="33"/>
        <v>0</v>
      </c>
      <c r="J98" s="56">
        <f t="shared" si="33"/>
        <v>0</v>
      </c>
      <c r="K98" s="80">
        <f t="shared" si="33"/>
        <v>0</v>
      </c>
      <c r="L98" s="56">
        <f t="shared" si="33"/>
        <v>0</v>
      </c>
      <c r="M98" s="56">
        <f t="shared" si="33"/>
        <v>0</v>
      </c>
      <c r="N98" s="56">
        <f t="shared" si="33"/>
        <v>0</v>
      </c>
      <c r="O98" s="80">
        <f t="shared" si="33"/>
        <v>0</v>
      </c>
      <c r="P98" s="56">
        <f t="shared" si="33"/>
        <v>3000</v>
      </c>
    </row>
    <row r="99" spans="1:16" ht="15.75">
      <c r="A99" s="68" t="s">
        <v>230</v>
      </c>
      <c r="B99" s="67" t="s">
        <v>222</v>
      </c>
      <c r="C99" s="67" t="s">
        <v>224</v>
      </c>
      <c r="D99" s="12" t="s">
        <v>227</v>
      </c>
      <c r="E99" s="56">
        <f>4000-1000</f>
        <v>3000</v>
      </c>
      <c r="F99" s="71">
        <f>E99</f>
        <v>3000</v>
      </c>
      <c r="G99" s="80"/>
      <c r="H99" s="80"/>
      <c r="I99" s="71"/>
      <c r="J99" s="56">
        <f>K99+L99+O99</f>
        <v>0</v>
      </c>
      <c r="K99" s="80"/>
      <c r="L99" s="71"/>
      <c r="M99" s="71"/>
      <c r="N99" s="71"/>
      <c r="O99" s="80"/>
      <c r="P99" s="56">
        <f>E99+J99</f>
        <v>3000</v>
      </c>
    </row>
    <row r="100" spans="1:16" ht="31.5">
      <c r="A100" s="9">
        <v>37</v>
      </c>
      <c r="B100" s="27"/>
      <c r="C100" s="27"/>
      <c r="D100" s="20" t="s">
        <v>199</v>
      </c>
      <c r="E100" s="39">
        <f>E101+E103+E105+E107</f>
        <v>1932900</v>
      </c>
      <c r="F100" s="39">
        <f aca="true" t="shared" si="34" ref="F100:P100">F101+F103+F105+F107</f>
        <v>1932900</v>
      </c>
      <c r="G100" s="77">
        <f t="shared" si="34"/>
        <v>1414000</v>
      </c>
      <c r="H100" s="77">
        <f t="shared" si="34"/>
        <v>42000</v>
      </c>
      <c r="I100" s="39">
        <f t="shared" si="34"/>
        <v>0</v>
      </c>
      <c r="J100" s="39">
        <f t="shared" si="34"/>
        <v>1862500</v>
      </c>
      <c r="K100" s="77">
        <f t="shared" si="34"/>
        <v>1862500</v>
      </c>
      <c r="L100" s="39">
        <f t="shared" si="34"/>
        <v>0</v>
      </c>
      <c r="M100" s="39">
        <f t="shared" si="34"/>
        <v>0</v>
      </c>
      <c r="N100" s="39">
        <f t="shared" si="34"/>
        <v>0</v>
      </c>
      <c r="O100" s="77">
        <f t="shared" si="34"/>
        <v>0</v>
      </c>
      <c r="P100" s="39">
        <f t="shared" si="34"/>
        <v>3795400</v>
      </c>
    </row>
    <row r="101" spans="1:16" ht="15.75">
      <c r="A101" s="2" t="s">
        <v>200</v>
      </c>
      <c r="B101" s="3" t="s">
        <v>71</v>
      </c>
      <c r="C101" s="4"/>
      <c r="D101" s="14" t="s">
        <v>72</v>
      </c>
      <c r="E101" s="39">
        <f>E102</f>
        <v>1906900</v>
      </c>
      <c r="F101" s="30">
        <f aca="true" t="shared" si="35" ref="F101:P101">F102</f>
        <v>1906900</v>
      </c>
      <c r="G101" s="77">
        <f t="shared" si="35"/>
        <v>1414000</v>
      </c>
      <c r="H101" s="77">
        <f t="shared" si="35"/>
        <v>42000</v>
      </c>
      <c r="I101" s="30">
        <f t="shared" si="35"/>
        <v>0</v>
      </c>
      <c r="J101" s="36">
        <f t="shared" si="21"/>
        <v>0</v>
      </c>
      <c r="K101" s="77">
        <f t="shared" si="35"/>
        <v>0</v>
      </c>
      <c r="L101" s="30">
        <f t="shared" si="35"/>
        <v>0</v>
      </c>
      <c r="M101" s="30">
        <f t="shared" si="35"/>
        <v>0</v>
      </c>
      <c r="N101" s="30">
        <f t="shared" si="35"/>
        <v>0</v>
      </c>
      <c r="O101" s="77">
        <f t="shared" si="35"/>
        <v>0</v>
      </c>
      <c r="P101" s="39">
        <f t="shared" si="35"/>
        <v>1906900</v>
      </c>
    </row>
    <row r="102" spans="1:16" ht="31.5">
      <c r="A102" s="5" t="s">
        <v>201</v>
      </c>
      <c r="B102" s="6" t="s">
        <v>74</v>
      </c>
      <c r="C102" s="6" t="s">
        <v>75</v>
      </c>
      <c r="D102" s="17" t="s">
        <v>76</v>
      </c>
      <c r="E102" s="37">
        <f>1896900+10000</f>
        <v>1906900</v>
      </c>
      <c r="F102" s="22">
        <f t="shared" si="19"/>
        <v>1906900</v>
      </c>
      <c r="G102" s="75">
        <v>1414000</v>
      </c>
      <c r="H102" s="75">
        <v>42000</v>
      </c>
      <c r="I102" s="29"/>
      <c r="J102" s="36">
        <f t="shared" si="21"/>
        <v>0</v>
      </c>
      <c r="K102" s="75"/>
      <c r="L102" s="29"/>
      <c r="M102" s="29"/>
      <c r="N102" s="29"/>
      <c r="O102" s="75"/>
      <c r="P102" s="35">
        <f t="shared" si="20"/>
        <v>1906900</v>
      </c>
    </row>
    <row r="103" spans="1:16" ht="15.75">
      <c r="A103" s="2" t="s">
        <v>240</v>
      </c>
      <c r="B103" s="3" t="s">
        <v>237</v>
      </c>
      <c r="C103" s="3"/>
      <c r="D103" s="16" t="s">
        <v>238</v>
      </c>
      <c r="E103" s="56">
        <f>E104</f>
        <v>26000</v>
      </c>
      <c r="F103" s="56">
        <f aca="true" t="shared" si="36" ref="F103:P103">F104</f>
        <v>26000</v>
      </c>
      <c r="G103" s="80">
        <f t="shared" si="36"/>
        <v>0</v>
      </c>
      <c r="H103" s="80">
        <f t="shared" si="36"/>
        <v>0</v>
      </c>
      <c r="I103" s="56">
        <f t="shared" si="36"/>
        <v>0</v>
      </c>
      <c r="J103" s="56">
        <f t="shared" si="36"/>
        <v>0</v>
      </c>
      <c r="K103" s="80">
        <f t="shared" si="36"/>
        <v>0</v>
      </c>
      <c r="L103" s="56">
        <f t="shared" si="36"/>
        <v>0</v>
      </c>
      <c r="M103" s="56">
        <f t="shared" si="36"/>
        <v>0</v>
      </c>
      <c r="N103" s="56">
        <f t="shared" si="36"/>
        <v>0</v>
      </c>
      <c r="O103" s="80">
        <f t="shared" si="36"/>
        <v>0</v>
      </c>
      <c r="P103" s="56">
        <f t="shared" si="36"/>
        <v>26000</v>
      </c>
    </row>
    <row r="104" spans="1:16" ht="15.75">
      <c r="A104" s="5" t="s">
        <v>231</v>
      </c>
      <c r="B104" s="6" t="s">
        <v>222</v>
      </c>
      <c r="C104" s="6" t="s">
        <v>224</v>
      </c>
      <c r="D104" s="12" t="s">
        <v>225</v>
      </c>
      <c r="E104" s="37">
        <v>26000</v>
      </c>
      <c r="F104" s="22">
        <f t="shared" si="19"/>
        <v>26000</v>
      </c>
      <c r="G104" s="75"/>
      <c r="H104" s="75"/>
      <c r="I104" s="29"/>
      <c r="J104" s="36">
        <f t="shared" si="21"/>
        <v>0</v>
      </c>
      <c r="K104" s="75"/>
      <c r="L104" s="29"/>
      <c r="M104" s="29"/>
      <c r="N104" s="29"/>
      <c r="O104" s="75"/>
      <c r="P104" s="35">
        <f t="shared" si="20"/>
        <v>26000</v>
      </c>
    </row>
    <row r="105" spans="1:16" ht="15.75">
      <c r="A105" s="2" t="s">
        <v>202</v>
      </c>
      <c r="B105" s="3" t="s">
        <v>113</v>
      </c>
      <c r="C105" s="4"/>
      <c r="D105" s="14" t="s">
        <v>114</v>
      </c>
      <c r="E105" s="39">
        <f>E106</f>
        <v>0</v>
      </c>
      <c r="F105" s="30">
        <f aca="true" t="shared" si="37" ref="F105:P105">F106</f>
        <v>0</v>
      </c>
      <c r="G105" s="77">
        <f t="shared" si="37"/>
        <v>0</v>
      </c>
      <c r="H105" s="77">
        <f t="shared" si="37"/>
        <v>0</v>
      </c>
      <c r="I105" s="30">
        <f t="shared" si="37"/>
        <v>0</v>
      </c>
      <c r="J105" s="36">
        <f t="shared" si="21"/>
        <v>0</v>
      </c>
      <c r="K105" s="77">
        <f t="shared" si="37"/>
        <v>0</v>
      </c>
      <c r="L105" s="30">
        <f t="shared" si="37"/>
        <v>0</v>
      </c>
      <c r="M105" s="30">
        <f t="shared" si="37"/>
        <v>0</v>
      </c>
      <c r="N105" s="30">
        <f t="shared" si="37"/>
        <v>0</v>
      </c>
      <c r="O105" s="77">
        <f t="shared" si="37"/>
        <v>0</v>
      </c>
      <c r="P105" s="39">
        <f t="shared" si="37"/>
        <v>0</v>
      </c>
    </row>
    <row r="106" spans="1:16" ht="15.75">
      <c r="A106" s="5" t="s">
        <v>203</v>
      </c>
      <c r="B106" s="6" t="s">
        <v>204</v>
      </c>
      <c r="C106" s="6" t="s">
        <v>18</v>
      </c>
      <c r="D106" s="13" t="s">
        <v>205</v>
      </c>
      <c r="E106" s="37">
        <f>1097600-1037770-59830</f>
        <v>0</v>
      </c>
      <c r="F106" s="22">
        <f t="shared" si="19"/>
        <v>0</v>
      </c>
      <c r="G106" s="75"/>
      <c r="H106" s="75"/>
      <c r="I106" s="29"/>
      <c r="J106" s="36">
        <f t="shared" si="21"/>
        <v>0</v>
      </c>
      <c r="K106" s="75"/>
      <c r="L106" s="29"/>
      <c r="M106" s="29"/>
      <c r="N106" s="29"/>
      <c r="O106" s="75"/>
      <c r="P106" s="35">
        <f t="shared" si="20"/>
        <v>0</v>
      </c>
    </row>
    <row r="107" spans="1:21" s="28" customFormat="1" ht="15.75">
      <c r="A107" s="2" t="s">
        <v>243</v>
      </c>
      <c r="B107" s="3" t="s">
        <v>244</v>
      </c>
      <c r="C107" s="3"/>
      <c r="D107" s="21" t="s">
        <v>245</v>
      </c>
      <c r="E107" s="39">
        <f>E108</f>
        <v>0</v>
      </c>
      <c r="F107" s="39">
        <f aca="true" t="shared" si="38" ref="F107:P107">F108</f>
        <v>0</v>
      </c>
      <c r="G107" s="77">
        <f t="shared" si="38"/>
        <v>0</v>
      </c>
      <c r="H107" s="77">
        <f t="shared" si="38"/>
        <v>0</v>
      </c>
      <c r="I107" s="39">
        <f t="shared" si="38"/>
        <v>0</v>
      </c>
      <c r="J107" s="39">
        <f t="shared" si="38"/>
        <v>1862500</v>
      </c>
      <c r="K107" s="77">
        <f t="shared" si="38"/>
        <v>1862500</v>
      </c>
      <c r="L107" s="39">
        <f t="shared" si="38"/>
        <v>0</v>
      </c>
      <c r="M107" s="39">
        <f t="shared" si="38"/>
        <v>0</v>
      </c>
      <c r="N107" s="39">
        <f t="shared" si="38"/>
        <v>0</v>
      </c>
      <c r="O107" s="77">
        <f t="shared" si="38"/>
        <v>0</v>
      </c>
      <c r="P107" s="39">
        <f t="shared" si="38"/>
        <v>1862500</v>
      </c>
      <c r="U107" s="24"/>
    </row>
    <row r="108" spans="1:16" ht="15.75">
      <c r="A108" s="5" t="s">
        <v>246</v>
      </c>
      <c r="B108" s="6" t="s">
        <v>247</v>
      </c>
      <c r="C108" s="6" t="s">
        <v>17</v>
      </c>
      <c r="D108" s="44" t="s">
        <v>248</v>
      </c>
      <c r="E108" s="37"/>
      <c r="F108" s="22">
        <f>E108</f>
        <v>0</v>
      </c>
      <c r="G108" s="75"/>
      <c r="H108" s="75"/>
      <c r="I108" s="29"/>
      <c r="J108" s="36">
        <f>K108+L108+O108</f>
        <v>1862500</v>
      </c>
      <c r="K108" s="75">
        <v>1862500</v>
      </c>
      <c r="L108" s="29"/>
      <c r="M108" s="29"/>
      <c r="N108" s="29"/>
      <c r="O108" s="75"/>
      <c r="P108" s="35">
        <f>E108+J108</f>
        <v>1862500</v>
      </c>
    </row>
    <row r="109" spans="1:21" s="28" customFormat="1" ht="18.75">
      <c r="A109" s="118" t="s">
        <v>206</v>
      </c>
      <c r="B109" s="119"/>
      <c r="C109" s="119"/>
      <c r="D109" s="119"/>
      <c r="E109" s="85">
        <f>E16+E43+E58+E76+E89+E100</f>
        <v>160750498</v>
      </c>
      <c r="F109" s="30">
        <f>F16+F43+F58+F76+F89+F100</f>
        <v>160750498</v>
      </c>
      <c r="G109" s="76">
        <f>G16+G43+G58+G76+G89+G100</f>
        <v>88941273</v>
      </c>
      <c r="H109" s="76">
        <f>H16+H43+H58+H76+H89+H100</f>
        <v>10637400</v>
      </c>
      <c r="I109" s="30">
        <f>I16+I43+I58+I76+I89+I100</f>
        <v>0</v>
      </c>
      <c r="J109" s="51">
        <f t="shared" si="21"/>
        <v>24209614</v>
      </c>
      <c r="K109" s="77">
        <f>K16+K43+K58+K76+K89+K100</f>
        <v>20999940</v>
      </c>
      <c r="L109" s="30">
        <f>L16+L43+L58+L76+L89+L100</f>
        <v>2950404</v>
      </c>
      <c r="M109" s="30">
        <f>M16+M43+M58+M76+M89+M100</f>
        <v>370000</v>
      </c>
      <c r="N109" s="30">
        <f>N16+N43+N58+N76+N89+N100</f>
        <v>114000</v>
      </c>
      <c r="O109" s="77">
        <f>O16+O43+O58+O76+O89+O100</f>
        <v>259270</v>
      </c>
      <c r="P109" s="86">
        <f t="shared" si="20"/>
        <v>184960112</v>
      </c>
      <c r="U109" s="24"/>
    </row>
    <row r="110" s="41" customFormat="1" ht="12.75">
      <c r="U110" s="28"/>
    </row>
    <row r="111" s="41" customFormat="1" ht="27" customHeight="1"/>
    <row r="112" s="41" customFormat="1" ht="12.75"/>
    <row r="113" spans="1:21" s="52" customFormat="1" ht="18.75">
      <c r="A113" s="54" t="s">
        <v>221</v>
      </c>
      <c r="B113" s="55"/>
      <c r="C113" s="55"/>
      <c r="E113" s="33" t="s">
        <v>234</v>
      </c>
      <c r="U113" s="41"/>
    </row>
    <row r="114" spans="5:21" ht="18.75">
      <c r="E114" s="34"/>
      <c r="J114" s="34"/>
      <c r="K114" s="34"/>
      <c r="P114" s="34"/>
      <c r="U114" s="52"/>
    </row>
    <row r="115" spans="5:16" ht="12.75">
      <c r="E115" s="34">
        <f>E109-E117</f>
        <v>44733</v>
      </c>
      <c r="F115" s="34">
        <f>F109-F117</f>
        <v>44733</v>
      </c>
      <c r="G115" s="24">
        <f aca="true" t="shared" si="39" ref="G115:P115">G109-G117</f>
        <v>27263</v>
      </c>
      <c r="H115" s="24">
        <f t="shared" si="39"/>
        <v>-23000</v>
      </c>
      <c r="I115" s="24">
        <f t="shared" si="39"/>
        <v>0</v>
      </c>
      <c r="J115" s="34">
        <f t="shared" si="39"/>
        <v>3123144</v>
      </c>
      <c r="K115" s="34">
        <f t="shared" si="39"/>
        <v>3123144</v>
      </c>
      <c r="L115" s="24">
        <f t="shared" si="39"/>
        <v>0</v>
      </c>
      <c r="M115" s="24">
        <f t="shared" si="39"/>
        <v>0</v>
      </c>
      <c r="N115" s="24">
        <f t="shared" si="39"/>
        <v>0</v>
      </c>
      <c r="O115" s="24">
        <f t="shared" si="39"/>
        <v>0</v>
      </c>
      <c r="P115" s="42">
        <f t="shared" si="39"/>
        <v>3167877</v>
      </c>
    </row>
    <row r="116" spans="5:16" ht="12.75">
      <c r="E116" s="34"/>
      <c r="J116" s="34"/>
      <c r="K116" s="34"/>
      <c r="P116" s="34"/>
    </row>
    <row r="117" spans="5:16" ht="12.75">
      <c r="E117" s="42">
        <v>160705765</v>
      </c>
      <c r="F117" s="24">
        <f>E117</f>
        <v>160705765</v>
      </c>
      <c r="G117" s="24">
        <v>88914010</v>
      </c>
      <c r="H117" s="24">
        <v>10660400</v>
      </c>
      <c r="I117" s="24">
        <v>0</v>
      </c>
      <c r="J117" s="34">
        <v>21086470</v>
      </c>
      <c r="K117" s="34">
        <v>17876796</v>
      </c>
      <c r="L117" s="24">
        <v>2950404</v>
      </c>
      <c r="M117" s="24">
        <v>370000</v>
      </c>
      <c r="N117" s="24">
        <v>114000</v>
      </c>
      <c r="O117" s="24">
        <v>259270</v>
      </c>
      <c r="P117" s="34">
        <v>181792235</v>
      </c>
    </row>
    <row r="119" ht="12.75">
      <c r="K119" s="24">
        <f>K109+O109</f>
        <v>21259210</v>
      </c>
    </row>
    <row r="120" ht="12.75">
      <c r="E120" s="43"/>
    </row>
    <row r="121" spans="14:21" s="33" customFormat="1" ht="15.75">
      <c r="N121" s="114"/>
      <c r="O121" s="114"/>
      <c r="P121" s="53"/>
      <c r="U121" s="24"/>
    </row>
    <row r="122" ht="15.75">
      <c r="U122" s="33"/>
    </row>
  </sheetData>
  <sheetProtection/>
  <mergeCells count="33">
    <mergeCell ref="N121:O121"/>
    <mergeCell ref="J11:O11"/>
    <mergeCell ref="K4:P4"/>
    <mergeCell ref="A8:P8"/>
    <mergeCell ref="A7:P7"/>
    <mergeCell ref="G12:H12"/>
    <mergeCell ref="A109:D109"/>
    <mergeCell ref="A73:A75"/>
    <mergeCell ref="M13:M14"/>
    <mergeCell ref="F12:F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B73:B75"/>
    <mergeCell ref="C11:C14"/>
    <mergeCell ref="D11:D14"/>
    <mergeCell ref="C73:C75"/>
    <mergeCell ref="B11:B14"/>
    <mergeCell ref="O12:O14"/>
    <mergeCell ref="A3:B3"/>
    <mergeCell ref="A11:A14"/>
    <mergeCell ref="P11:P14"/>
    <mergeCell ref="K3:P3"/>
    <mergeCell ref="J12:J14"/>
    <mergeCell ref="G13:G14"/>
    <mergeCell ref="I12:I14"/>
  </mergeCells>
  <printOptions/>
  <pageMargins left="0.2" right="0.2" top="0.26" bottom="0.23" header="0.24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2020-06-26T10:26:34Z</cp:lastPrinted>
  <dcterms:created xsi:type="dcterms:W3CDTF">2018-12-04T09:08:53Z</dcterms:created>
  <dcterms:modified xsi:type="dcterms:W3CDTF">2020-07-09T07:37:41Z</dcterms:modified>
  <cp:category/>
  <cp:version/>
  <cp:contentType/>
  <cp:contentStatus/>
</cp:coreProperties>
</file>