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7 (2)" sheetId="1" r:id="rId1"/>
  </sheets>
  <definedNames>
    <definedName name="_xlnm.Print_Area" localSheetId="0">'додаток 7 (2)'!$A$1:$J$104</definedName>
  </definedNames>
  <calcPr fullCalcOnLoad="1"/>
</workbook>
</file>

<file path=xl/sharedStrings.xml><?xml version="1.0" encoding="utf-8"?>
<sst xmlns="http://schemas.openxmlformats.org/spreadsheetml/2006/main" count="367" uniqueCount="252">
  <si>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</si>
  <si>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</si>
  <si>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</si>
  <si>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</si>
  <si>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</si>
  <si>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</si>
  <si>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</si>
  <si>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</si>
  <si>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</si>
  <si>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</si>
  <si>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</si>
  <si>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</si>
  <si>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</si>
  <si>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</si>
  <si>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</si>
  <si>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</si>
  <si>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</si>
  <si>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</si>
  <si>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</si>
  <si>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</si>
  <si>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</si>
  <si>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</si>
  <si>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</si>
  <si>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</si>
  <si>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</si>
  <si>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</si>
  <si>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</si>
  <si>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</si>
  <si>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</si>
  <si>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</si>
  <si>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</si>
  <si>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</si>
  <si>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</si>
  <si>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</si>
  <si>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</si>
  <si>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</si>
  <si>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</si>
  <si>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</si>
  <si>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</si>
  <si>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</si>
  <si>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</si>
  <si>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</si>
  <si>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</si>
  <si>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</si>
  <si>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</si>
  <si>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</si>
  <si>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</si>
  <si>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</si>
  <si>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</si>
  <si>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</si>
  <si>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</si>
  <si>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</si>
  <si>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</si>
  <si>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</si>
  <si>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</si>
  <si>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</si>
  <si>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</si>
  <si>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</si>
  <si>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</si>
  <si>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</si>
  <si>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</si>
  <si>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</si>
  <si>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</si>
  <si>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</si>
  <si>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</si>
  <si>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</si>
  <si>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</si>
  <si>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</si>
  <si>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</si>
  <si>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</si>
  <si>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</si>
  <si>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</si>
  <si>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</si>
  <si>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</si>
  <si>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</si>
  <si>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</si>
  <si>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</si>
  <si>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</si>
  <si>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</si>
  <si>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</si>
  <si>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</si>
  <si>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</si>
  <si>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</si>
  <si>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</si>
  <si>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</si>
  <si>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</si>
  <si>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</si>
  <si>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</si>
  <si>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</si>
  <si>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</si>
  <si>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</si>
  <si>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</si>
  <si>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</si>
  <si>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</si>
  <si>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</si>
  <si>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</si>
  <si>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</si>
  <si>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</si>
  <si>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</si>
  <si>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</si>
  <si>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</si>
  <si>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</si>
  <si>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</si>
  <si>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</si>
  <si>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</si>
  <si>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>№ 313-31-VII від 06.04.2017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</si>
  <si>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</si>
  <si>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</si>
  <si>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</si>
  <si>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</si>
  <si>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</si>
  <si>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</si>
  <si>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</si>
  <si>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</si>
  <si>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</si>
  <si>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</si>
  <si>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</si>
  <si>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</si>
  <si>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</si>
  <si>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</si>
  <si>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</si>
  <si>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</si>
  <si>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</si>
  <si>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</si>
  <si>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</si>
  <si>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</si>
  <si>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</si>
  <si>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</si>
  <si>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</si>
  <si>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</si>
  <si>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</si>
  <si>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</si>
  <si>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</si>
  <si>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</si>
  <si>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</si>
  <si>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</si>
  <si>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</si>
  <si>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</si>
  <si>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</si>
  <si>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</si>
  <si>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</si>
  <si>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</si>
  <si>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</si>
  <si>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</si>
  <si>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</si>
  <si>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</si>
  <si>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</si>
  <si>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</si>
  <si>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</si>
  <si>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</si>
  <si>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</si>
  <si>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</si>
  <si>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</si>
  <si>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</si>
  <si>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</si>
  <si>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</si>
  <si>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</si>
  <si>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</si>
  <si>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</si>
  <si>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</si>
  <si>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</si>
  <si>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</si>
  <si>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</si>
  <si>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</si>
  <si>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 xml:space="preserve">№ 619-57-VII від 21.12.2018 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</si>
  <si>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</si>
  <si>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</si>
  <si>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</si>
  <si>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</si>
  <si>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</si>
  <si>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</si>
  <si>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</si>
  <si>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</si>
  <si>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</si>
  <si>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</si>
  <si>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№ 675-61-VII від 31.01.2019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</si>
  <si>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</si>
  <si>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</si>
  <si>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</si>
  <si>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</si>
  <si>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</si>
  <si>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</si>
  <si>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7640</t>
  </si>
  <si>
    <t>0470</t>
  </si>
  <si>
    <t>Заходи з енергозбереження</t>
  </si>
  <si>
    <t>№352-36-7 від 13.07.2017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</si>
  <si>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</si>
  <si>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</si>
  <si>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</si>
  <si>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</si>
  <si>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</si>
  <si>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</si>
  <si>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</si>
  <si>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</si>
  <si>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</si>
  <si>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</si>
  <si>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</si>
  <si>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</si>
  <si>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</si>
  <si>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</si>
  <si>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</si>
  <si>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</si>
  <si>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</si>
  <si>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</si>
  <si>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</si>
  <si>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</si>
  <si>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</si>
  <si>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</si>
  <si>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</si>
  <si>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</si>
  <si>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</si>
  <si>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</si>
  <si>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</si>
  <si>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</si>
  <si>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</si>
  <si>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</si>
  <si>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</si>
  <si>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</si>
  <si>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</si>
  <si>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</si>
  <si>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</si>
  <si>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</si>
  <si>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</si>
  <si>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</si>
  <si>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</si>
  <si>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</si>
  <si>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</si>
  <si>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</si>
  <si>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</si>
  <si>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</si>
  <si>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</si>
  <si>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</si>
  <si>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</si>
  <si>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</si>
  <si>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</si>
  <si>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№ 294-30-VII від 03.03.2017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</si>
  <si>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</si>
  <si>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</si>
  <si>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№ 808-71-VII від 26.07.2019</t>
  </si>
  <si>
    <t>0610160</t>
  </si>
  <si>
    <t>Секретар ради</t>
  </si>
  <si>
    <t>О.В.Сивак</t>
  </si>
  <si>
    <t>№ 841-74-VII від 12.09.2019</t>
  </si>
  <si>
    <t>від  26.09.2019  № 860-75-VII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</si>
  <si>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</si>
  <si>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</si>
  <si>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</si>
  <si>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</si>
  <si>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«Питна вода міста Березань на 2018-2020 роки» </t>
  </si>
  <si>
    <t>№ 858-75 -VII від 26.09.2019</t>
  </si>
  <si>
    <t>№ 859-75-VII від 26.09.2019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</si>
  <si>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color indexed="8"/>
        <rFont val="Times New Roman"/>
        <family val="1"/>
      </rPr>
      <t xml:space="preserve">здійснення представницьких </t>
    </r>
    <r>
      <rPr>
        <sz val="11"/>
        <color indexed="8"/>
        <rFont val="Times New Roman"/>
        <family val="1"/>
      </rPr>
      <t xml:space="preserve">та інших заходів на 2017-2021роки 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</si>
</sst>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\ _₴_-;\-* #,##0.0\ _₴_-;_-* &quot;-&quot;??\ _₴_-;_-@_-"/>
    <numFmt numFmtId="196" formatCode="_-* #,##0\ _₴_-;\-* #,##0\ _₴_-;_-* &quot;-&quot;??\ _₴_-;_-@_-"/>
  </numFmts>
  <fonts count="54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indexed="8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CC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194" fontId="42" fillId="0" borderId="10" xfId="0" applyNumberFormat="1" applyFont="1" applyFill="1" applyBorder="1" applyAlignment="1">
      <alignment horizontal="center" vertical="center" wrapText="1"/>
    </xf>
    <xf numFmtId="194" fontId="42" fillId="24" borderId="10" xfId="0" applyNumberFormat="1" applyFont="1" applyFill="1" applyBorder="1" applyAlignment="1">
      <alignment horizontal="center" vertical="center" wrapText="1"/>
    </xf>
    <xf numFmtId="194" fontId="38" fillId="0" borderId="10" xfId="48" applyNumberFormat="1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left" vertical="center"/>
    </xf>
    <xf numFmtId="194" fontId="41" fillId="0" borderId="10" xfId="0" applyNumberFormat="1" applyFont="1" applyFill="1" applyBorder="1" applyAlignment="1">
      <alignment horizontal="center" vertical="center" wrapText="1"/>
    </xf>
    <xf numFmtId="194" fontId="41" fillId="0" borderId="10" xfId="0" applyNumberFormat="1" applyFont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left" vertical="center"/>
    </xf>
    <xf numFmtId="194" fontId="43" fillId="0" borderId="10" xfId="48" applyNumberFormat="1" applyFont="1" applyFill="1" applyBorder="1" applyAlignment="1">
      <alignment horizontal="left" vertical="center" wrapText="1"/>
      <protection/>
    </xf>
    <xf numFmtId="0" fontId="39" fillId="25" borderId="1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 quotePrefix="1">
      <alignment horizontal="left" vertical="center" wrapText="1"/>
    </xf>
    <xf numFmtId="49" fontId="38" fillId="0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justify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justify" vertical="center" wrapText="1"/>
    </xf>
    <xf numFmtId="0" fontId="38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wrapText="1"/>
    </xf>
    <xf numFmtId="0" fontId="39" fillId="0" borderId="11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left" wrapText="1"/>
    </xf>
    <xf numFmtId="194" fontId="42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justify" wrapText="1"/>
    </xf>
    <xf numFmtId="194" fontId="38" fillId="0" borderId="10" xfId="0" applyNumberFormat="1" applyFont="1" applyFill="1" applyBorder="1" applyAlignment="1">
      <alignment horizontal="center" vertical="center" wrapText="1"/>
    </xf>
    <xf numFmtId="194" fontId="38" fillId="25" borderId="10" xfId="0" applyNumberFormat="1" applyFont="1" applyFill="1" applyBorder="1" applyAlignment="1">
      <alignment horizontal="center" vertical="center" wrapText="1"/>
    </xf>
    <xf numFmtId="194" fontId="43" fillId="25" borderId="10" xfId="0" applyNumberFormat="1" applyFont="1" applyFill="1" applyBorder="1" applyAlignment="1">
      <alignment horizontal="center" vertical="center" wrapText="1"/>
    </xf>
    <xf numFmtId="0" fontId="38" fillId="25" borderId="0" xfId="0" applyFont="1" applyFill="1" applyAlignment="1">
      <alignment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25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194" fontId="38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 vertical="center" wrapText="1"/>
    </xf>
    <xf numFmtId="0" fontId="42" fillId="24" borderId="10" xfId="0" applyFont="1" applyFill="1" applyBorder="1" applyAlignment="1" quotePrefix="1">
      <alignment horizontal="center" vertical="center"/>
    </xf>
    <xf numFmtId="0" fontId="42" fillId="24" borderId="10" xfId="0" applyFont="1" applyFill="1" applyBorder="1" applyAlignment="1">
      <alignment vertical="center"/>
    </xf>
    <xf numFmtId="0" fontId="41" fillId="0" borderId="10" xfId="0" applyFont="1" applyBorder="1" applyAlignment="1">
      <alignment wrapText="1"/>
    </xf>
    <xf numFmtId="194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/>
    </xf>
    <xf numFmtId="194" fontId="38" fillId="0" borderId="10" xfId="48" applyNumberFormat="1" applyFont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38" fillId="0" borderId="12" xfId="0" applyFont="1" applyBorder="1" applyAlignment="1">
      <alignment horizontal="justify" wrapText="1"/>
    </xf>
    <xf numFmtId="0" fontId="38" fillId="0" borderId="0" xfId="0" applyFont="1" applyAlignment="1">
      <alignment wrapText="1"/>
    </xf>
    <xf numFmtId="0" fontId="41" fillId="0" borderId="10" xfId="0" applyFont="1" applyFill="1" applyBorder="1" applyAlignment="1" quotePrefix="1">
      <alignment horizontal="left" vertical="center" wrapText="1"/>
    </xf>
    <xf numFmtId="0" fontId="38" fillId="0" borderId="0" xfId="0" applyFont="1" applyFill="1" applyAlignment="1">
      <alignment/>
    </xf>
    <xf numFmtId="194" fontId="37" fillId="25" borderId="0" xfId="0" applyNumberFormat="1" applyFont="1" applyFill="1" applyAlignment="1">
      <alignment/>
    </xf>
    <xf numFmtId="0" fontId="37" fillId="25" borderId="0" xfId="0" applyFont="1" applyFill="1" applyAlignment="1">
      <alignment/>
    </xf>
    <xf numFmtId="0" fontId="41" fillId="0" borderId="10" xfId="0" applyFont="1" applyBorder="1" applyAlignment="1">
      <alignment horizontal="justify" wrapText="1"/>
    </xf>
    <xf numFmtId="0" fontId="38" fillId="0" borderId="12" xfId="0" applyFont="1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49" fontId="41" fillId="0" borderId="12" xfId="0" applyNumberFormat="1" applyFont="1" applyFill="1" applyBorder="1" applyAlignment="1">
      <alignment vertical="center"/>
    </xf>
    <xf numFmtId="194" fontId="43" fillId="0" borderId="10" xfId="0" applyNumberFormat="1" applyFont="1" applyBorder="1" applyAlignment="1">
      <alignment horizontal="center" vertical="center" wrapText="1"/>
    </xf>
    <xf numFmtId="194" fontId="37" fillId="0" borderId="0" xfId="0" applyNumberFormat="1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94" fontId="41" fillId="0" borderId="12" xfId="0" applyNumberFormat="1" applyFont="1" applyBorder="1" applyAlignment="1">
      <alignment horizontal="center" vertical="center"/>
    </xf>
    <xf numFmtId="171" fontId="37" fillId="0" borderId="0" xfId="0" applyNumberFormat="1" applyFont="1" applyAlignment="1">
      <alignment horizontal="center" vertical="center"/>
    </xf>
    <xf numFmtId="196" fontId="41" fillId="0" borderId="0" xfId="0" applyNumberFormat="1" applyFont="1" applyAlignment="1">
      <alignment horizontal="center" vertical="center"/>
    </xf>
    <xf numFmtId="171" fontId="41" fillId="0" borderId="0" xfId="0" applyNumberFormat="1" applyFont="1" applyAlignment="1">
      <alignment horizontal="center" vertical="center"/>
    </xf>
    <xf numFmtId="194" fontId="47" fillId="0" borderId="10" xfId="0" applyNumberFormat="1" applyFont="1" applyFill="1" applyBorder="1" applyAlignment="1">
      <alignment horizontal="center" vertical="center" wrapText="1"/>
    </xf>
    <xf numFmtId="194" fontId="47" fillId="0" borderId="10" xfId="0" applyNumberFormat="1" applyFont="1" applyBorder="1" applyAlignment="1">
      <alignment horizontal="center" vertical="center" wrapText="1"/>
    </xf>
    <xf numFmtId="194" fontId="48" fillId="0" borderId="10" xfId="0" applyNumberFormat="1" applyFont="1" applyFill="1" applyBorder="1" applyAlignment="1">
      <alignment horizontal="center" vertical="center" wrapText="1"/>
    </xf>
    <xf numFmtId="194" fontId="49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94" fontId="37" fillId="0" borderId="0" xfId="0" applyNumberFormat="1" applyFont="1" applyBorder="1" applyAlignment="1">
      <alignment/>
    </xf>
    <xf numFmtId="194" fontId="41" fillId="0" borderId="0" xfId="0" applyNumberFormat="1" applyFont="1" applyFill="1" applyBorder="1" applyAlignment="1">
      <alignment horizontal="center" vertical="center"/>
    </xf>
    <xf numFmtId="19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94" fontId="49" fillId="0" borderId="10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71" fontId="37" fillId="0" borderId="0" xfId="0" applyNumberFormat="1" applyFont="1" applyFill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38" fillId="0" borderId="11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center"/>
    </xf>
    <xf numFmtId="187" fontId="41" fillId="0" borderId="14" xfId="59" applyFont="1" applyBorder="1" applyAlignment="1">
      <alignment/>
    </xf>
    <xf numFmtId="0" fontId="50" fillId="0" borderId="16" xfId="0" applyFont="1" applyBorder="1" applyAlignment="1">
      <alignment/>
    </xf>
    <xf numFmtId="0" fontId="37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87" fontId="41" fillId="0" borderId="0" xfId="59" applyFont="1" applyAlignment="1">
      <alignment/>
    </xf>
    <xf numFmtId="0" fontId="37" fillId="0" borderId="0" xfId="0" applyFont="1" applyAlignment="1">
      <alignment/>
    </xf>
    <xf numFmtId="0" fontId="50" fillId="0" borderId="13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187" fontId="41" fillId="0" borderId="0" xfId="59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49" fontId="42" fillId="24" borderId="10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vertical="center"/>
    </xf>
    <xf numFmtId="0" fontId="37" fillId="0" borderId="10" xfId="0" applyFont="1" applyBorder="1" applyAlignment="1">
      <alignment/>
    </xf>
    <xf numFmtId="0" fontId="38" fillId="27" borderId="11" xfId="0" applyFont="1" applyFill="1" applyBorder="1" applyAlignment="1">
      <alignment horizontal="left" vertical="center" wrapText="1"/>
    </xf>
    <xf numFmtId="0" fontId="50" fillId="27" borderId="13" xfId="0" applyFont="1" applyFill="1" applyBorder="1" applyAlignment="1">
      <alignment horizontal="left"/>
    </xf>
    <xf numFmtId="0" fontId="50" fillId="27" borderId="15" xfId="0" applyFont="1" applyFill="1" applyBorder="1" applyAlignment="1">
      <alignment horizontal="left"/>
    </xf>
    <xf numFmtId="0" fontId="37" fillId="25" borderId="11" xfId="0" applyFont="1" applyFill="1" applyBorder="1" applyAlignment="1">
      <alignment horizontal="center" vertical="center"/>
    </xf>
    <xf numFmtId="0" fontId="38" fillId="28" borderId="11" xfId="0" applyFont="1" applyFill="1" applyBorder="1" applyAlignment="1">
      <alignment horizontal="left" vertical="center" wrapText="1"/>
    </xf>
    <xf numFmtId="0" fontId="37" fillId="28" borderId="13" xfId="0" applyFont="1" applyFill="1" applyBorder="1" applyAlignment="1">
      <alignment horizontal="left" vertical="center"/>
    </xf>
    <xf numFmtId="0" fontId="50" fillId="28" borderId="15" xfId="0" applyFont="1" applyFill="1" applyBorder="1" applyAlignment="1">
      <alignment horizontal="left" vertical="center"/>
    </xf>
    <xf numFmtId="0" fontId="42" fillId="24" borderId="12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49" fontId="41" fillId="24" borderId="10" xfId="0" applyNumberFormat="1" applyFont="1" applyFill="1" applyBorder="1" applyAlignment="1">
      <alignment horizontal="center" vertical="top" wrapText="1"/>
    </xf>
    <xf numFmtId="0" fontId="42" fillId="2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194" fontId="38" fillId="0" borderId="11" xfId="48" applyNumberFormat="1" applyFont="1" applyBorder="1" applyAlignment="1">
      <alignment horizontal="left" wrapText="1"/>
      <protection/>
    </xf>
    <xf numFmtId="194" fontId="38" fillId="0" borderId="15" xfId="48" applyNumberFormat="1" applyFont="1" applyBorder="1" applyAlignment="1">
      <alignment horizontal="left" wrapText="1"/>
      <protection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justify"/>
    </xf>
    <xf numFmtId="0" fontId="37" fillId="0" borderId="10" xfId="0" applyFont="1" applyFill="1" applyBorder="1" applyAlignment="1">
      <alignment horizontal="center" vertical="justify"/>
    </xf>
    <xf numFmtId="0" fontId="37" fillId="0" borderId="10" xfId="0" applyFont="1" applyFill="1" applyBorder="1" applyAlignment="1">
      <alignment vertical="center" wrapText="1"/>
    </xf>
    <xf numFmtId="194" fontId="38" fillId="0" borderId="10" xfId="48" applyNumberFormat="1" applyFont="1" applyBorder="1" applyAlignment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7" fillId="0" borderId="13" xfId="0" applyFont="1" applyBorder="1" applyAlignment="1">
      <alignment horizontal="left" vertical="center"/>
    </xf>
    <xf numFmtId="49" fontId="42" fillId="24" borderId="10" xfId="0" applyNumberFormat="1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7" fillId="25" borderId="11" xfId="0" applyFont="1" applyFill="1" applyBorder="1" applyAlignment="1">
      <alignment horizontal="left" vertical="center"/>
    </xf>
    <xf numFmtId="0" fontId="37" fillId="25" borderId="13" xfId="0" applyFont="1" applyFill="1" applyBorder="1" applyAlignment="1">
      <alignment horizontal="left" vertical="center"/>
    </xf>
    <xf numFmtId="0" fontId="52" fillId="0" borderId="16" xfId="0" applyFont="1" applyBorder="1" applyAlignment="1">
      <alignment horizontal="center"/>
    </xf>
    <xf numFmtId="0" fontId="38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52" fillId="0" borderId="14" xfId="0" applyFont="1" applyBorder="1" applyAlignment="1">
      <alignment/>
    </xf>
    <xf numFmtId="0" fontId="52" fillId="0" borderId="16" xfId="0" applyFont="1" applyBorder="1" applyAlignment="1">
      <alignment/>
    </xf>
    <xf numFmtId="0" fontId="41" fillId="0" borderId="11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37" fillId="25" borderId="1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0" fontId="42" fillId="24" borderId="10" xfId="0" applyFont="1" applyFill="1" applyBorder="1" applyAlignment="1">
      <alignment horizontal="center" vertical="top" wrapText="1"/>
    </xf>
    <xf numFmtId="0" fontId="39" fillId="24" borderId="10" xfId="0" applyFont="1" applyFill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83" zoomScaleSheetLayoutView="83" workbookViewId="0" topLeftCell="B1">
      <selection activeCell="I12" sqref="I12"/>
    </sheetView>
  </sheetViews>
  <sheetFormatPr defaultColWidth="9.00390625" defaultRowHeight="12.75"/>
  <cols>
    <col min="1" max="1" width="9.75390625" style="1" customWidth="1"/>
    <col min="2" max="2" width="9.875" style="1" customWidth="1"/>
    <col min="3" max="3" width="9.375" style="1" customWidth="1"/>
    <col min="4" max="4" width="55.375" style="2" customWidth="1"/>
    <col min="5" max="5" width="52.75390625" style="3" customWidth="1"/>
    <col min="6" max="6" width="25.00390625" style="3" customWidth="1"/>
    <col min="7" max="7" width="19.125" style="6" customWidth="1"/>
    <col min="8" max="8" width="20.625" style="8" customWidth="1"/>
    <col min="9" max="9" width="14.25390625" style="8" customWidth="1"/>
    <col min="10" max="10" width="16.875" style="6" customWidth="1"/>
    <col min="11" max="11" width="13.125" style="3" customWidth="1"/>
    <col min="12" max="12" width="14.125" style="3" customWidth="1"/>
    <col min="13" max="16384" width="9.125" style="3" customWidth="1"/>
  </cols>
  <sheetData>
    <row r="1" spans="7:10" ht="15">
      <c r="G1" s="197" t="s">
        <v>8</v>
      </c>
      <c r="H1" s="198"/>
      <c r="I1" s="198"/>
      <c r="J1" s="198"/>
    </row>
    <row r="2" spans="7:11" ht="14.25" customHeight="1">
      <c r="G2" s="199" t="s">
        <v>115</v>
      </c>
      <c r="H2" s="198"/>
      <c r="I2" s="198"/>
      <c r="J2" s="198"/>
      <c r="K2" s="4"/>
    </row>
    <row r="3" spans="7:11" ht="15" customHeight="1">
      <c r="G3" s="199" t="s">
        <v>116</v>
      </c>
      <c r="H3" s="198"/>
      <c r="I3" s="198"/>
      <c r="J3" s="198"/>
      <c r="K3" s="5"/>
    </row>
    <row r="4" spans="7:11" ht="15">
      <c r="G4" s="200" t="s">
        <v>243</v>
      </c>
      <c r="H4" s="201"/>
      <c r="I4" s="201"/>
      <c r="J4" s="201"/>
      <c r="K4" s="4"/>
    </row>
    <row r="5" ht="15">
      <c r="H5" s="7"/>
    </row>
    <row r="6" ht="20.25">
      <c r="C6" s="9" t="s">
        <v>112</v>
      </c>
    </row>
    <row r="7" spans="1:10" ht="15">
      <c r="A7" s="10"/>
      <c r="J7" s="6" t="s">
        <v>0</v>
      </c>
    </row>
    <row r="8" spans="1:10" ht="67.5" customHeight="1">
      <c r="A8" s="193" t="s">
        <v>244</v>
      </c>
      <c r="B8" s="193" t="s">
        <v>245</v>
      </c>
      <c r="C8" s="193" t="s">
        <v>246</v>
      </c>
      <c r="D8" s="194" t="s">
        <v>247</v>
      </c>
      <c r="E8" s="196" t="s">
        <v>9</v>
      </c>
      <c r="F8" s="196" t="s">
        <v>10</v>
      </c>
      <c r="G8" s="202" t="s">
        <v>1</v>
      </c>
      <c r="H8" s="196" t="s">
        <v>2</v>
      </c>
      <c r="I8" s="196" t="s">
        <v>3</v>
      </c>
      <c r="J8" s="191"/>
    </row>
    <row r="9" spans="1:10" ht="36.75" customHeight="1">
      <c r="A9" s="193"/>
      <c r="B9" s="193"/>
      <c r="C9" s="193"/>
      <c r="D9" s="195"/>
      <c r="E9" s="191"/>
      <c r="F9" s="191"/>
      <c r="G9" s="203"/>
      <c r="H9" s="191"/>
      <c r="I9" s="11" t="s">
        <v>4</v>
      </c>
      <c r="J9" s="103" t="s">
        <v>5</v>
      </c>
    </row>
    <row r="10" spans="1:10" ht="15.75">
      <c r="A10" s="12">
        <v>1</v>
      </c>
      <c r="B10" s="12">
        <v>2</v>
      </c>
      <c r="C10" s="12">
        <v>3</v>
      </c>
      <c r="D10" s="13">
        <v>4</v>
      </c>
      <c r="E10" s="14">
        <v>5</v>
      </c>
      <c r="F10" s="14">
        <v>6</v>
      </c>
      <c r="G10" s="15">
        <v>7</v>
      </c>
      <c r="H10" s="11">
        <v>8</v>
      </c>
      <c r="I10" s="11">
        <v>9</v>
      </c>
      <c r="J10" s="93">
        <v>10</v>
      </c>
    </row>
    <row r="11" spans="1:10" ht="15.75" customHeight="1">
      <c r="A11" s="147" t="s">
        <v>11</v>
      </c>
      <c r="B11" s="147"/>
      <c r="C11" s="147"/>
      <c r="D11" s="148" t="s">
        <v>12</v>
      </c>
      <c r="E11" s="148"/>
      <c r="F11" s="149"/>
      <c r="G11" s="16">
        <f>H11+I11</f>
        <v>3904808</v>
      </c>
      <c r="H11" s="17">
        <f>H16+H17+H18+H19+H20+H21+H22+H23+H24+H25+H26</f>
        <v>3120045</v>
      </c>
      <c r="I11" s="17">
        <f>I16+I17+I18+I19+I20+I21+I22+I23+I24+I25+I26</f>
        <v>784763</v>
      </c>
      <c r="J11" s="16">
        <f>J16+J17+J18+J19+J20+J21+J22+J23+J24+J25+J26</f>
        <v>784763</v>
      </c>
    </row>
    <row r="12" spans="1:10" ht="60">
      <c r="A12" s="187" t="s">
        <v>18</v>
      </c>
      <c r="B12" s="190" t="s">
        <v>19</v>
      </c>
      <c r="C12" s="190" t="s">
        <v>20</v>
      </c>
      <c r="D12" s="192" t="s">
        <v>17</v>
      </c>
      <c r="E12" s="18" t="s">
        <v>251</v>
      </c>
      <c r="F12" s="19" t="s">
        <v>21</v>
      </c>
      <c r="G12" s="20">
        <f>H12+I12</f>
        <v>110000</v>
      </c>
      <c r="H12" s="21">
        <v>110000</v>
      </c>
      <c r="I12" s="92"/>
      <c r="J12" s="20"/>
    </row>
    <row r="13" spans="1:10" ht="93.75" customHeight="1">
      <c r="A13" s="188"/>
      <c r="B13" s="190"/>
      <c r="C13" s="190"/>
      <c r="D13" s="192"/>
      <c r="E13" s="18" t="s">
        <v>219</v>
      </c>
      <c r="F13" s="19" t="s">
        <v>220</v>
      </c>
      <c r="G13" s="20">
        <f>H13+I13</f>
        <v>15000</v>
      </c>
      <c r="H13" s="21"/>
      <c r="I13" s="92">
        <v>15000</v>
      </c>
      <c r="J13" s="99">
        <v>15000</v>
      </c>
    </row>
    <row r="14" spans="1:10" ht="45">
      <c r="A14" s="188"/>
      <c r="B14" s="190"/>
      <c r="C14" s="191"/>
      <c r="D14" s="192"/>
      <c r="E14" s="18" t="s">
        <v>133</v>
      </c>
      <c r="F14" s="22" t="s">
        <v>222</v>
      </c>
      <c r="G14" s="20">
        <f aca="true" t="shared" si="0" ref="G14:G26">H14+I14</f>
        <v>112810</v>
      </c>
      <c r="H14" s="21">
        <f>40000+72810</f>
        <v>112810</v>
      </c>
      <c r="I14" s="92"/>
      <c r="J14" s="20"/>
    </row>
    <row r="15" spans="1:10" ht="45">
      <c r="A15" s="189"/>
      <c r="B15" s="190"/>
      <c r="C15" s="191"/>
      <c r="D15" s="192"/>
      <c r="E15" s="18" t="s">
        <v>134</v>
      </c>
      <c r="F15" s="22" t="s">
        <v>221</v>
      </c>
      <c r="G15" s="20">
        <f t="shared" si="0"/>
        <v>1704693</v>
      </c>
      <c r="H15" s="21">
        <f>200000+159100+315000+28481+113000+119349</f>
        <v>934930</v>
      </c>
      <c r="I15" s="92">
        <f>199900+194671+137541+117000+120651</f>
        <v>769763</v>
      </c>
      <c r="J15" s="99">
        <f>I15</f>
        <v>769763</v>
      </c>
    </row>
    <row r="16" spans="1:10" s="25" customFormat="1" ht="15.75">
      <c r="A16" s="106" t="s">
        <v>107</v>
      </c>
      <c r="B16" s="178"/>
      <c r="C16" s="178"/>
      <c r="D16" s="179"/>
      <c r="E16" s="23"/>
      <c r="F16" s="24"/>
      <c r="G16" s="16">
        <f>G12+G13+G14+G15</f>
        <v>1942503</v>
      </c>
      <c r="H16" s="16">
        <f>H12+H13+H14+H15</f>
        <v>1157740</v>
      </c>
      <c r="I16" s="91">
        <f>I12+I13+I14+I15</f>
        <v>784763</v>
      </c>
      <c r="J16" s="16">
        <f>J12+J13+J14+J15</f>
        <v>784763</v>
      </c>
    </row>
    <row r="17" spans="1:10" ht="19.5" customHeight="1">
      <c r="A17" s="26" t="s">
        <v>170</v>
      </c>
      <c r="B17" s="26" t="s">
        <v>171</v>
      </c>
      <c r="C17" s="26" t="s">
        <v>172</v>
      </c>
      <c r="D17" s="27" t="s">
        <v>173</v>
      </c>
      <c r="E17" s="180" t="s">
        <v>174</v>
      </c>
      <c r="F17" s="172" t="s">
        <v>175</v>
      </c>
      <c r="G17" s="20">
        <f t="shared" si="0"/>
        <v>85000</v>
      </c>
      <c r="H17" s="20">
        <f>35000+50000</f>
        <v>85000</v>
      </c>
      <c r="I17" s="21"/>
      <c r="J17" s="20"/>
    </row>
    <row r="18" spans="1:10" ht="19.5" customHeight="1">
      <c r="A18" s="28" t="s">
        <v>177</v>
      </c>
      <c r="B18" s="26" t="s">
        <v>178</v>
      </c>
      <c r="C18" s="26" t="s">
        <v>179</v>
      </c>
      <c r="D18" s="29" t="s">
        <v>180</v>
      </c>
      <c r="E18" s="181"/>
      <c r="F18" s="182"/>
      <c r="G18" s="20">
        <f t="shared" si="0"/>
        <v>75000</v>
      </c>
      <c r="H18" s="20">
        <v>75000</v>
      </c>
      <c r="I18" s="21"/>
      <c r="J18" s="20"/>
    </row>
    <row r="19" spans="1:10" ht="30">
      <c r="A19" s="30" t="s">
        <v>152</v>
      </c>
      <c r="B19" s="30" t="s">
        <v>153</v>
      </c>
      <c r="C19" s="30" t="s">
        <v>154</v>
      </c>
      <c r="D19" s="31" t="s">
        <v>155</v>
      </c>
      <c r="E19" s="32" t="s">
        <v>156</v>
      </c>
      <c r="F19" s="22" t="s">
        <v>157</v>
      </c>
      <c r="G19" s="20">
        <f t="shared" si="0"/>
        <v>420100</v>
      </c>
      <c r="H19" s="21">
        <f>380100+40000</f>
        <v>420100</v>
      </c>
      <c r="I19" s="21"/>
      <c r="J19" s="20"/>
    </row>
    <row r="20" spans="1:10" ht="30">
      <c r="A20" s="26" t="s">
        <v>165</v>
      </c>
      <c r="B20" s="26" t="s">
        <v>166</v>
      </c>
      <c r="C20" s="26" t="s">
        <v>154</v>
      </c>
      <c r="D20" s="33" t="s">
        <v>167</v>
      </c>
      <c r="E20" s="29" t="s">
        <v>168</v>
      </c>
      <c r="F20" s="22" t="s">
        <v>169</v>
      </c>
      <c r="G20" s="20">
        <f t="shared" si="0"/>
        <v>90300</v>
      </c>
      <c r="H20" s="21">
        <v>90300</v>
      </c>
      <c r="I20" s="21"/>
      <c r="J20" s="20"/>
    </row>
    <row r="21" spans="1:10" ht="30" customHeight="1">
      <c r="A21" s="12" t="s">
        <v>30</v>
      </c>
      <c r="B21" s="12" t="s">
        <v>31</v>
      </c>
      <c r="C21" s="12" t="s">
        <v>32</v>
      </c>
      <c r="D21" s="27" t="s">
        <v>25</v>
      </c>
      <c r="E21" s="183" t="s">
        <v>13</v>
      </c>
      <c r="F21" s="184" t="s">
        <v>223</v>
      </c>
      <c r="G21" s="20">
        <f t="shared" si="0"/>
        <v>120000</v>
      </c>
      <c r="H21" s="21">
        <v>120000</v>
      </c>
      <c r="I21" s="21"/>
      <c r="J21" s="20"/>
    </row>
    <row r="22" spans="1:10" ht="60" customHeight="1">
      <c r="A22" s="12" t="s">
        <v>33</v>
      </c>
      <c r="B22" s="12" t="s">
        <v>34</v>
      </c>
      <c r="C22" s="12" t="s">
        <v>32</v>
      </c>
      <c r="D22" s="33" t="s">
        <v>26</v>
      </c>
      <c r="E22" s="183"/>
      <c r="F22" s="184"/>
      <c r="G22" s="20">
        <f t="shared" si="0"/>
        <v>400000</v>
      </c>
      <c r="H22" s="21">
        <f>400000</f>
        <v>400000</v>
      </c>
      <c r="I22" s="21"/>
      <c r="J22" s="20"/>
    </row>
    <row r="23" spans="1:10" ht="45" customHeight="1">
      <c r="A23" s="12" t="s">
        <v>35</v>
      </c>
      <c r="B23" s="12" t="s">
        <v>36</v>
      </c>
      <c r="C23" s="12" t="s">
        <v>37</v>
      </c>
      <c r="D23" s="33" t="s">
        <v>27</v>
      </c>
      <c r="E23" s="29" t="s">
        <v>14</v>
      </c>
      <c r="F23" s="19" t="s">
        <v>22</v>
      </c>
      <c r="G23" s="20">
        <f t="shared" si="0"/>
        <v>400000</v>
      </c>
      <c r="H23" s="20">
        <v>400000</v>
      </c>
      <c r="I23" s="21"/>
      <c r="J23" s="20"/>
    </row>
    <row r="24" spans="1:10" ht="46.5" customHeight="1">
      <c r="A24" s="12" t="s">
        <v>38</v>
      </c>
      <c r="B24" s="12" t="s">
        <v>39</v>
      </c>
      <c r="C24" s="12" t="s">
        <v>37</v>
      </c>
      <c r="D24" s="34" t="s">
        <v>28</v>
      </c>
      <c r="E24" s="29" t="s">
        <v>15</v>
      </c>
      <c r="F24" s="19" t="s">
        <v>23</v>
      </c>
      <c r="G24" s="20">
        <f t="shared" si="0"/>
        <v>169000</v>
      </c>
      <c r="H24" s="20">
        <v>169000</v>
      </c>
      <c r="I24" s="21"/>
      <c r="J24" s="20"/>
    </row>
    <row r="25" spans="1:10" ht="60">
      <c r="A25" s="12" t="s">
        <v>40</v>
      </c>
      <c r="B25" s="12" t="s">
        <v>41</v>
      </c>
      <c r="C25" s="12" t="s">
        <v>42</v>
      </c>
      <c r="D25" s="35" t="s">
        <v>29</v>
      </c>
      <c r="E25" s="29" t="s">
        <v>16</v>
      </c>
      <c r="F25" s="19" t="s">
        <v>24</v>
      </c>
      <c r="G25" s="20">
        <f t="shared" si="0"/>
        <v>122905</v>
      </c>
      <c r="H25" s="20">
        <f>442000-319095</f>
        <v>122905</v>
      </c>
      <c r="I25" s="21"/>
      <c r="J25" s="20"/>
    </row>
    <row r="26" spans="1:10" ht="90">
      <c r="A26" s="36" t="s">
        <v>204</v>
      </c>
      <c r="B26" s="30" t="s">
        <v>203</v>
      </c>
      <c r="C26" s="30" t="s">
        <v>205</v>
      </c>
      <c r="D26" s="37" t="s">
        <v>206</v>
      </c>
      <c r="E26" s="38" t="s">
        <v>208</v>
      </c>
      <c r="F26" s="22" t="s">
        <v>207</v>
      </c>
      <c r="G26" s="20">
        <f t="shared" si="0"/>
        <v>80000</v>
      </c>
      <c r="H26" s="20">
        <v>80000</v>
      </c>
      <c r="I26" s="21"/>
      <c r="J26" s="20"/>
    </row>
    <row r="27" spans="1:10" ht="15.75">
      <c r="A27" s="147" t="s">
        <v>44</v>
      </c>
      <c r="B27" s="147"/>
      <c r="C27" s="147"/>
      <c r="D27" s="185" t="s">
        <v>43</v>
      </c>
      <c r="E27" s="185"/>
      <c r="F27" s="186"/>
      <c r="G27" s="16">
        <f>H27+I27</f>
        <v>69605828.49000001</v>
      </c>
      <c r="H27" s="17">
        <f>H37</f>
        <v>68086246.49000001</v>
      </c>
      <c r="I27" s="17">
        <f>I37</f>
        <v>1519582</v>
      </c>
      <c r="J27" s="16">
        <f>J37</f>
        <v>1519582</v>
      </c>
    </row>
    <row r="28" spans="1:10" s="41" customFormat="1" ht="47.25">
      <c r="A28" s="36" t="s">
        <v>239</v>
      </c>
      <c r="B28" s="30" t="s">
        <v>136</v>
      </c>
      <c r="C28" s="30" t="s">
        <v>137</v>
      </c>
      <c r="D28" s="39" t="s">
        <v>138</v>
      </c>
      <c r="E28" s="175" t="s">
        <v>71</v>
      </c>
      <c r="F28" s="40"/>
      <c r="G28" s="20">
        <f aca="true" t="shared" si="1" ref="G28:G36">H28+I28</f>
        <v>6200</v>
      </c>
      <c r="H28" s="16"/>
      <c r="I28" s="99">
        <v>6200</v>
      </c>
      <c r="J28" s="99">
        <f>I28</f>
        <v>6200</v>
      </c>
    </row>
    <row r="29" spans="1:12" ht="15.75" customHeight="1">
      <c r="A29" s="26" t="s">
        <v>45</v>
      </c>
      <c r="B29" s="26" t="s">
        <v>52</v>
      </c>
      <c r="C29" s="26" t="s">
        <v>59</v>
      </c>
      <c r="D29" s="32" t="s">
        <v>64</v>
      </c>
      <c r="E29" s="176"/>
      <c r="F29" s="111" t="s">
        <v>224</v>
      </c>
      <c r="G29" s="20">
        <f t="shared" si="1"/>
        <v>15779862.62</v>
      </c>
      <c r="H29" s="42">
        <f>14237000+1464000-72185.38-370000+29200+21060+144300+27489-(27489+3000)+318000</f>
        <v>15768374.62</v>
      </c>
      <c r="I29" s="97">
        <f>11488</f>
        <v>11488</v>
      </c>
      <c r="J29" s="99">
        <f>I29</f>
        <v>11488</v>
      </c>
      <c r="L29" s="95"/>
    </row>
    <row r="30" spans="1:12" ht="60" customHeight="1">
      <c r="A30" s="26" t="s">
        <v>46</v>
      </c>
      <c r="B30" s="26" t="s">
        <v>53</v>
      </c>
      <c r="C30" s="26" t="s">
        <v>60</v>
      </c>
      <c r="D30" s="32" t="s">
        <v>65</v>
      </c>
      <c r="E30" s="176"/>
      <c r="F30" s="168"/>
      <c r="G30" s="20">
        <f t="shared" si="1"/>
        <v>48558678.870000005</v>
      </c>
      <c r="H30" s="42">
        <f>13883000+31301300+2504885-1464000+199800-372511.76-233077.37-17000+430000+61+84672+42000+200000+210000-147101-(172899+37000)+91089+604000</f>
        <v>47107217.870000005</v>
      </c>
      <c r="I30" s="97">
        <f>1451461</f>
        <v>1451461</v>
      </c>
      <c r="J30" s="99">
        <f>I30</f>
        <v>1451461</v>
      </c>
      <c r="L30" s="96"/>
    </row>
    <row r="31" spans="1:10" ht="30" customHeight="1">
      <c r="A31" s="26" t="s">
        <v>47</v>
      </c>
      <c r="B31" s="26" t="s">
        <v>54</v>
      </c>
      <c r="C31" s="26" t="s">
        <v>61</v>
      </c>
      <c r="D31" s="32" t="s">
        <v>66</v>
      </c>
      <c r="E31" s="176"/>
      <c r="F31" s="168"/>
      <c r="G31" s="20">
        <f t="shared" si="1"/>
        <v>852000</v>
      </c>
      <c r="H31" s="42">
        <f>842000+10000</f>
        <v>852000</v>
      </c>
      <c r="I31" s="20"/>
      <c r="J31" s="20"/>
    </row>
    <row r="32" spans="1:10" ht="15.75" customHeight="1">
      <c r="A32" s="26" t="s">
        <v>48</v>
      </c>
      <c r="B32" s="26" t="s">
        <v>55</v>
      </c>
      <c r="C32" s="26" t="s">
        <v>62</v>
      </c>
      <c r="D32" s="33" t="s">
        <v>67</v>
      </c>
      <c r="E32" s="176"/>
      <c r="F32" s="168"/>
      <c r="G32" s="20">
        <f t="shared" si="1"/>
        <v>607000</v>
      </c>
      <c r="H32" s="20">
        <v>607000</v>
      </c>
      <c r="I32" s="20"/>
      <c r="J32" s="20"/>
    </row>
    <row r="33" spans="1:10" ht="15" customHeight="1">
      <c r="A33" s="26" t="s">
        <v>49</v>
      </c>
      <c r="B33" s="26" t="s">
        <v>56</v>
      </c>
      <c r="C33" s="26" t="s">
        <v>62</v>
      </c>
      <c r="D33" s="32" t="s">
        <v>68</v>
      </c>
      <c r="E33" s="176"/>
      <c r="F33" s="168"/>
      <c r="G33" s="20">
        <f t="shared" si="1"/>
        <v>1417048</v>
      </c>
      <c r="H33" s="42">
        <f>1192000+124810+1218439-1218439+30605+19200</f>
        <v>1366615</v>
      </c>
      <c r="I33" s="94">
        <v>50433</v>
      </c>
      <c r="J33" s="99">
        <f>I33</f>
        <v>50433</v>
      </c>
    </row>
    <row r="34" spans="1:10" ht="15.75">
      <c r="A34" s="26" t="s">
        <v>50</v>
      </c>
      <c r="B34" s="26" t="s">
        <v>57</v>
      </c>
      <c r="C34" s="26" t="s">
        <v>62</v>
      </c>
      <c r="D34" s="43" t="s">
        <v>69</v>
      </c>
      <c r="E34" s="176"/>
      <c r="F34" s="168"/>
      <c r="G34" s="20">
        <f t="shared" si="1"/>
        <v>9050</v>
      </c>
      <c r="H34" s="20">
        <v>9050</v>
      </c>
      <c r="I34" s="21"/>
      <c r="J34" s="20"/>
    </row>
    <row r="35" spans="1:10" ht="15.75">
      <c r="A35" s="26" t="s">
        <v>193</v>
      </c>
      <c r="B35" s="26" t="s">
        <v>194</v>
      </c>
      <c r="C35" s="26"/>
      <c r="D35" s="43" t="s">
        <v>195</v>
      </c>
      <c r="E35" s="176"/>
      <c r="F35" s="168"/>
      <c r="G35" s="20">
        <f t="shared" si="1"/>
        <v>1218439</v>
      </c>
      <c r="H35" s="20">
        <v>1218439</v>
      </c>
      <c r="I35" s="21"/>
      <c r="J35" s="20"/>
    </row>
    <row r="36" spans="1:10" ht="30" customHeight="1">
      <c r="A36" s="26" t="s">
        <v>51</v>
      </c>
      <c r="B36" s="26" t="s">
        <v>58</v>
      </c>
      <c r="C36" s="26" t="s">
        <v>63</v>
      </c>
      <c r="D36" s="32" t="s">
        <v>70</v>
      </c>
      <c r="E36" s="176"/>
      <c r="F36" s="168"/>
      <c r="G36" s="20">
        <f t="shared" si="1"/>
        <v>1157550</v>
      </c>
      <c r="H36" s="42">
        <f>1100000+17000+980+20000-(18570)+5800+32340</f>
        <v>1157550</v>
      </c>
      <c r="I36" s="21"/>
      <c r="J36" s="20"/>
    </row>
    <row r="37" spans="1:10" ht="15.75" customHeight="1">
      <c r="A37" s="106" t="s">
        <v>107</v>
      </c>
      <c r="B37" s="107"/>
      <c r="C37" s="107"/>
      <c r="D37" s="118"/>
      <c r="E37" s="177"/>
      <c r="F37" s="117"/>
      <c r="G37" s="16">
        <f>H37+I37</f>
        <v>69605828.49000001</v>
      </c>
      <c r="H37" s="44">
        <f>H28+H29+H30+H31+H32+H33+H34+H35+H36</f>
        <v>68086246.49000001</v>
      </c>
      <c r="I37" s="44">
        <f>I28+I29+I30+I31+I32+I33+I34+I35+I36</f>
        <v>1519582</v>
      </c>
      <c r="J37" s="16">
        <f>J28+J29+J30+J31+J32+J33+J34+J35+J36</f>
        <v>1519582</v>
      </c>
    </row>
    <row r="38" spans="1:10" ht="19.5" customHeight="1">
      <c r="A38" s="169" t="s">
        <v>72</v>
      </c>
      <c r="B38" s="169"/>
      <c r="C38" s="169"/>
      <c r="D38" s="148" t="s">
        <v>73</v>
      </c>
      <c r="E38" s="170"/>
      <c r="F38" s="136"/>
      <c r="G38" s="17">
        <f>G39+G43+G44+G48</f>
        <v>1754000</v>
      </c>
      <c r="H38" s="17">
        <f>H39+H43+H44+H48</f>
        <v>1692000</v>
      </c>
      <c r="I38" s="17">
        <f>I39+I43+I44+I48</f>
        <v>62000</v>
      </c>
      <c r="J38" s="16">
        <f>J39+J43+J44+J48</f>
        <v>62000</v>
      </c>
    </row>
    <row r="39" spans="1:10" s="50" customFormat="1" ht="30.75" customHeight="1">
      <c r="A39" s="45" t="s">
        <v>117</v>
      </c>
      <c r="B39" s="26" t="s">
        <v>118</v>
      </c>
      <c r="C39" s="26" t="s">
        <v>119</v>
      </c>
      <c r="D39" s="46" t="s">
        <v>120</v>
      </c>
      <c r="E39" s="29" t="s">
        <v>121</v>
      </c>
      <c r="F39" s="22" t="s">
        <v>122</v>
      </c>
      <c r="G39" s="47">
        <f aca="true" t="shared" si="2" ref="G39:G53">H39+I39</f>
        <v>490000</v>
      </c>
      <c r="H39" s="48">
        <v>490000</v>
      </c>
      <c r="I39" s="49"/>
      <c r="J39" s="51"/>
    </row>
    <row r="40" spans="1:10" s="50" customFormat="1" ht="29.25" customHeight="1">
      <c r="A40" s="28" t="s">
        <v>124</v>
      </c>
      <c r="B40" s="26" t="s">
        <v>125</v>
      </c>
      <c r="C40" s="26" t="s">
        <v>78</v>
      </c>
      <c r="D40" s="33" t="s">
        <v>126</v>
      </c>
      <c r="E40" s="113" t="s">
        <v>197</v>
      </c>
      <c r="F40" s="172" t="s">
        <v>123</v>
      </c>
      <c r="G40" s="47">
        <f t="shared" si="2"/>
        <v>20000</v>
      </c>
      <c r="H40" s="48">
        <v>20000</v>
      </c>
      <c r="I40" s="49"/>
      <c r="J40" s="51"/>
    </row>
    <row r="41" spans="1:10" s="50" customFormat="1" ht="30" customHeight="1">
      <c r="A41" s="28" t="s">
        <v>127</v>
      </c>
      <c r="B41" s="26" t="s">
        <v>128</v>
      </c>
      <c r="C41" s="26" t="s">
        <v>119</v>
      </c>
      <c r="D41" s="32" t="s">
        <v>129</v>
      </c>
      <c r="E41" s="171"/>
      <c r="F41" s="173"/>
      <c r="G41" s="47">
        <f t="shared" si="2"/>
        <v>100000</v>
      </c>
      <c r="H41" s="48">
        <v>100000</v>
      </c>
      <c r="I41" s="49"/>
      <c r="J41" s="51"/>
    </row>
    <row r="42" spans="1:10" s="50" customFormat="1" ht="30" customHeight="1">
      <c r="A42" s="28" t="s">
        <v>130</v>
      </c>
      <c r="B42" s="26" t="s">
        <v>131</v>
      </c>
      <c r="C42" s="26" t="s">
        <v>119</v>
      </c>
      <c r="D42" s="32" t="s">
        <v>132</v>
      </c>
      <c r="E42" s="171"/>
      <c r="F42" s="173"/>
      <c r="G42" s="47">
        <f t="shared" si="2"/>
        <v>325000</v>
      </c>
      <c r="H42" s="48">
        <f>200000+125000</f>
        <v>325000</v>
      </c>
      <c r="I42" s="49"/>
      <c r="J42" s="51"/>
    </row>
    <row r="43" spans="1:10" s="52" customFormat="1" ht="15" customHeight="1">
      <c r="A43" s="106" t="s">
        <v>107</v>
      </c>
      <c r="B43" s="124"/>
      <c r="C43" s="124"/>
      <c r="D43" s="174"/>
      <c r="E43" s="130"/>
      <c r="F43" s="117"/>
      <c r="G43" s="51">
        <f>H43+I43</f>
        <v>445000</v>
      </c>
      <c r="H43" s="49">
        <f>H40+H41+H42</f>
        <v>445000</v>
      </c>
      <c r="I43" s="49">
        <f>I40+I41+I42</f>
        <v>0</v>
      </c>
      <c r="J43" s="51">
        <f>J40+J41+J42</f>
        <v>0</v>
      </c>
    </row>
    <row r="44" spans="1:10" ht="15.75">
      <c r="A44" s="161" t="s">
        <v>74</v>
      </c>
      <c r="B44" s="161" t="s">
        <v>76</v>
      </c>
      <c r="C44" s="161" t="s">
        <v>54</v>
      </c>
      <c r="D44" s="152" t="s">
        <v>79</v>
      </c>
      <c r="E44" s="163"/>
      <c r="F44" s="53"/>
      <c r="G44" s="16">
        <f>H44+I44</f>
        <v>700000</v>
      </c>
      <c r="H44" s="44">
        <f>H45+H46+H47</f>
        <v>700000</v>
      </c>
      <c r="I44" s="44">
        <f>I45+I46+I47</f>
        <v>0</v>
      </c>
      <c r="J44" s="16">
        <f>J45+J46+J47</f>
        <v>0</v>
      </c>
    </row>
    <row r="45" spans="1:10" ht="30">
      <c r="A45" s="162"/>
      <c r="B45" s="162"/>
      <c r="C45" s="162"/>
      <c r="D45" s="29" t="s">
        <v>80</v>
      </c>
      <c r="E45" s="54" t="s">
        <v>81</v>
      </c>
      <c r="F45" s="19" t="s">
        <v>87</v>
      </c>
      <c r="G45" s="20">
        <f t="shared" si="2"/>
        <v>200100</v>
      </c>
      <c r="H45" s="21">
        <v>200100</v>
      </c>
      <c r="I45" s="21"/>
      <c r="J45" s="20"/>
    </row>
    <row r="46" spans="1:10" ht="45" customHeight="1">
      <c r="A46" s="162"/>
      <c r="B46" s="162"/>
      <c r="C46" s="162"/>
      <c r="D46" s="55" t="s">
        <v>82</v>
      </c>
      <c r="E46" s="18" t="s">
        <v>83</v>
      </c>
      <c r="F46" s="19" t="s">
        <v>88</v>
      </c>
      <c r="G46" s="20">
        <f t="shared" si="2"/>
        <v>64100</v>
      </c>
      <c r="H46" s="21">
        <f>60100+4000</f>
        <v>64100</v>
      </c>
      <c r="I46" s="21"/>
      <c r="J46" s="20"/>
    </row>
    <row r="47" spans="1:10" ht="19.5" customHeight="1">
      <c r="A47" s="162"/>
      <c r="B47" s="162"/>
      <c r="C47" s="162"/>
      <c r="D47" s="55" t="s">
        <v>84</v>
      </c>
      <c r="E47" s="164" t="s">
        <v>85</v>
      </c>
      <c r="F47" s="166" t="s">
        <v>164</v>
      </c>
      <c r="G47" s="20">
        <f t="shared" si="2"/>
        <v>435800</v>
      </c>
      <c r="H47" s="21">
        <f>339800+50000+50000-4000</f>
        <v>435800</v>
      </c>
      <c r="I47" s="21"/>
      <c r="J47" s="20"/>
    </row>
    <row r="48" spans="1:10" ht="47.25" customHeight="1">
      <c r="A48" s="26" t="s">
        <v>75</v>
      </c>
      <c r="B48" s="26" t="s">
        <v>77</v>
      </c>
      <c r="C48" s="26" t="s">
        <v>78</v>
      </c>
      <c r="D48" s="32" t="s">
        <v>86</v>
      </c>
      <c r="E48" s="165"/>
      <c r="F48" s="167"/>
      <c r="G48" s="20">
        <f t="shared" si="2"/>
        <v>119000</v>
      </c>
      <c r="H48" s="21">
        <f>50000+7000</f>
        <v>57000</v>
      </c>
      <c r="I48" s="92">
        <f>44000+18000</f>
        <v>62000</v>
      </c>
      <c r="J48" s="99">
        <f>I48</f>
        <v>62000</v>
      </c>
    </row>
    <row r="49" spans="1:10" s="25" customFormat="1" ht="21" customHeight="1">
      <c r="A49" s="56">
        <v>10</v>
      </c>
      <c r="B49" s="57"/>
      <c r="C49" s="57"/>
      <c r="D49" s="144" t="s">
        <v>198</v>
      </c>
      <c r="E49" s="145"/>
      <c r="F49" s="146"/>
      <c r="G49" s="16">
        <f>G53+G52+G51+G50</f>
        <v>710244</v>
      </c>
      <c r="H49" s="16">
        <f>H53+H52+H51+H50</f>
        <v>675244</v>
      </c>
      <c r="I49" s="16">
        <f>I53+I52+I51+I50</f>
        <v>35000</v>
      </c>
      <c r="J49" s="16">
        <f>J53+J52+J51+J50</f>
        <v>35000</v>
      </c>
    </row>
    <row r="50" spans="1:10" s="2" customFormat="1" ht="30.75" customHeight="1">
      <c r="A50" s="36" t="s">
        <v>214</v>
      </c>
      <c r="B50" s="30" t="s">
        <v>211</v>
      </c>
      <c r="C50" s="30" t="s">
        <v>61</v>
      </c>
      <c r="D50" s="58" t="s">
        <v>215</v>
      </c>
      <c r="E50" s="156" t="s">
        <v>212</v>
      </c>
      <c r="F50" s="159" t="s">
        <v>235</v>
      </c>
      <c r="G50" s="20">
        <f>H50+I50</f>
        <v>50244</v>
      </c>
      <c r="H50" s="59">
        <v>20244</v>
      </c>
      <c r="I50" s="90">
        <v>30000</v>
      </c>
      <c r="J50" s="89">
        <f>I50</f>
        <v>30000</v>
      </c>
    </row>
    <row r="51" spans="1:10" s="2" customFormat="1" ht="19.5" customHeight="1">
      <c r="A51" s="36" t="s">
        <v>216</v>
      </c>
      <c r="B51" s="30" t="s">
        <v>213</v>
      </c>
      <c r="C51" s="30" t="s">
        <v>217</v>
      </c>
      <c r="D51" s="58" t="s">
        <v>218</v>
      </c>
      <c r="E51" s="157"/>
      <c r="F51" s="160"/>
      <c r="G51" s="20">
        <f>H51+I51</f>
        <v>5000</v>
      </c>
      <c r="H51" s="59">
        <v>0</v>
      </c>
      <c r="I51" s="90">
        <v>5000</v>
      </c>
      <c r="J51" s="89">
        <f>I51</f>
        <v>5000</v>
      </c>
    </row>
    <row r="52" spans="1:10" s="2" customFormat="1" ht="30" customHeight="1">
      <c r="A52" s="36" t="s">
        <v>144</v>
      </c>
      <c r="B52" s="30" t="s">
        <v>145</v>
      </c>
      <c r="C52" s="30" t="s">
        <v>146</v>
      </c>
      <c r="D52" s="58" t="s">
        <v>147</v>
      </c>
      <c r="E52" s="158"/>
      <c r="F52" s="115"/>
      <c r="G52" s="20">
        <f>H52+I52</f>
        <v>280000</v>
      </c>
      <c r="H52" s="59">
        <f>250000+30000</f>
        <v>280000</v>
      </c>
      <c r="I52" s="59"/>
      <c r="J52" s="47">
        <f>I52</f>
        <v>0</v>
      </c>
    </row>
    <row r="53" spans="1:10" s="2" customFormat="1" ht="30.75" customHeight="1">
      <c r="A53" s="28" t="s">
        <v>199</v>
      </c>
      <c r="B53" s="26" t="s">
        <v>200</v>
      </c>
      <c r="C53" s="26" t="s">
        <v>201</v>
      </c>
      <c r="D53" s="32" t="s">
        <v>202</v>
      </c>
      <c r="E53" s="35" t="s">
        <v>237</v>
      </c>
      <c r="F53" s="60" t="s">
        <v>238</v>
      </c>
      <c r="G53" s="20">
        <f t="shared" si="2"/>
        <v>375000</v>
      </c>
      <c r="H53" s="59">
        <f>75000+100000+200000</f>
        <v>375000</v>
      </c>
      <c r="I53" s="59"/>
      <c r="J53" s="47"/>
    </row>
    <row r="54" ht="15.75">
      <c r="G54" s="20"/>
    </row>
    <row r="55" spans="1:10" ht="15.75">
      <c r="A55" s="147" t="s">
        <v>89</v>
      </c>
      <c r="B55" s="147"/>
      <c r="C55" s="147"/>
      <c r="D55" s="148" t="s">
        <v>90</v>
      </c>
      <c r="E55" s="148"/>
      <c r="F55" s="149"/>
      <c r="G55" s="16">
        <f>G56+G57+G58+G59+G60</f>
        <v>448000</v>
      </c>
      <c r="H55" s="17">
        <f>H56+H57+H58+H59+H60</f>
        <v>388000</v>
      </c>
      <c r="I55" s="17">
        <f>I56+I57+I58+I59+I60</f>
        <v>60000</v>
      </c>
      <c r="J55" s="16">
        <f>J56+J57+J58+J59+J60</f>
        <v>60000</v>
      </c>
    </row>
    <row r="56" spans="1:10" ht="47.25" customHeight="1">
      <c r="A56" s="30" t="s">
        <v>91</v>
      </c>
      <c r="B56" s="45" t="s">
        <v>94</v>
      </c>
      <c r="C56" s="45" t="s">
        <v>32</v>
      </c>
      <c r="D56" s="34" t="s">
        <v>97</v>
      </c>
      <c r="E56" s="18" t="s">
        <v>100</v>
      </c>
      <c r="F56" s="19" t="s">
        <v>103</v>
      </c>
      <c r="G56" s="20">
        <f aca="true" t="shared" si="3" ref="G56:G73">H56+I56</f>
        <v>50000</v>
      </c>
      <c r="H56" s="20">
        <f>20000+30000</f>
        <v>50000</v>
      </c>
      <c r="I56" s="21"/>
      <c r="J56" s="20"/>
    </row>
    <row r="57" spans="1:10" ht="30">
      <c r="A57" s="150" t="s">
        <v>92</v>
      </c>
      <c r="B57" s="150" t="s">
        <v>95</v>
      </c>
      <c r="C57" s="150" t="s">
        <v>63</v>
      </c>
      <c r="D57" s="152" t="s">
        <v>98</v>
      </c>
      <c r="E57" s="61" t="s">
        <v>101</v>
      </c>
      <c r="F57" s="60" t="s">
        <v>114</v>
      </c>
      <c r="G57" s="20">
        <f t="shared" si="3"/>
        <v>5000</v>
      </c>
      <c r="H57" s="20">
        <v>5000</v>
      </c>
      <c r="I57" s="21"/>
      <c r="J57" s="20"/>
    </row>
    <row r="58" spans="1:10" ht="33.75" customHeight="1">
      <c r="A58" s="151"/>
      <c r="B58" s="151"/>
      <c r="C58" s="151"/>
      <c r="D58" s="153"/>
      <c r="E58" s="62" t="s">
        <v>209</v>
      </c>
      <c r="F58" s="19" t="s">
        <v>104</v>
      </c>
      <c r="G58" s="20">
        <f t="shared" si="3"/>
        <v>335000</v>
      </c>
      <c r="H58" s="20">
        <f>235000+40000</f>
        <v>275000</v>
      </c>
      <c r="I58" s="92">
        <v>60000</v>
      </c>
      <c r="J58" s="99">
        <f>I58</f>
        <v>60000</v>
      </c>
    </row>
    <row r="59" spans="1:10" ht="15.75">
      <c r="A59" s="151"/>
      <c r="B59" s="151"/>
      <c r="C59" s="151"/>
      <c r="D59" s="153"/>
      <c r="E59" s="154" t="s">
        <v>102</v>
      </c>
      <c r="F59" s="133" t="s">
        <v>105</v>
      </c>
      <c r="G59" s="20">
        <f t="shared" si="3"/>
        <v>50000</v>
      </c>
      <c r="H59" s="20">
        <v>50000</v>
      </c>
      <c r="I59" s="21"/>
      <c r="J59" s="20"/>
    </row>
    <row r="60" spans="1:10" ht="29.25" customHeight="1">
      <c r="A60" s="26" t="s">
        <v>93</v>
      </c>
      <c r="B60" s="26" t="s">
        <v>96</v>
      </c>
      <c r="C60" s="26" t="s">
        <v>63</v>
      </c>
      <c r="D60" s="32" t="s">
        <v>99</v>
      </c>
      <c r="E60" s="155"/>
      <c r="F60" s="133"/>
      <c r="G60" s="20">
        <f t="shared" si="3"/>
        <v>8000</v>
      </c>
      <c r="H60" s="21">
        <v>8000</v>
      </c>
      <c r="I60" s="21"/>
      <c r="J60" s="20"/>
    </row>
    <row r="61" spans="1:10" ht="15.75">
      <c r="A61" s="134" t="s">
        <v>106</v>
      </c>
      <c r="B61" s="135"/>
      <c r="C61" s="135"/>
      <c r="D61" s="135"/>
      <c r="E61" s="135"/>
      <c r="F61" s="136"/>
      <c r="G61" s="16">
        <f>H61+I61</f>
        <v>40022358</v>
      </c>
      <c r="H61" s="17">
        <f>H74+H89+H100+H79+H62+H63</f>
        <v>17677798</v>
      </c>
      <c r="I61" s="17">
        <f>I74+I89+I100+I79+I62+I63</f>
        <v>22344560</v>
      </c>
      <c r="J61" s="16">
        <f>J74+J89+J100+J79+J62+J63</f>
        <v>21998560</v>
      </c>
    </row>
    <row r="62" spans="1:10" s="41" customFormat="1" ht="30">
      <c r="A62" s="30" t="s">
        <v>158</v>
      </c>
      <c r="B62" s="26" t="s">
        <v>159</v>
      </c>
      <c r="C62" s="26" t="s">
        <v>37</v>
      </c>
      <c r="D62" s="63" t="s">
        <v>160</v>
      </c>
      <c r="E62" s="108" t="s">
        <v>248</v>
      </c>
      <c r="F62" s="111" t="s">
        <v>242</v>
      </c>
      <c r="G62" s="20">
        <f>H62+I62</f>
        <v>1784846</v>
      </c>
      <c r="H62" s="21"/>
      <c r="I62" s="90">
        <f>140000+1644846</f>
        <v>1784846</v>
      </c>
      <c r="J62" s="99">
        <f>I62</f>
        <v>1784846</v>
      </c>
    </row>
    <row r="63" spans="1:10" s="41" customFormat="1" ht="15.75">
      <c r="A63" s="30" t="s">
        <v>232</v>
      </c>
      <c r="B63" s="26" t="s">
        <v>233</v>
      </c>
      <c r="C63" s="26" t="s">
        <v>19</v>
      </c>
      <c r="D63" s="64" t="s">
        <v>234</v>
      </c>
      <c r="E63" s="109"/>
      <c r="F63" s="112"/>
      <c r="G63" s="20">
        <f>H63+I63</f>
        <v>1850278</v>
      </c>
      <c r="H63" s="21"/>
      <c r="I63" s="90">
        <v>1850278</v>
      </c>
      <c r="J63" s="99">
        <f>I63</f>
        <v>1850278</v>
      </c>
    </row>
    <row r="64" spans="1:10" s="41" customFormat="1" ht="15.75">
      <c r="A64" s="106" t="s">
        <v>107</v>
      </c>
      <c r="B64" s="107"/>
      <c r="C64" s="107"/>
      <c r="D64" s="107"/>
      <c r="E64" s="110"/>
      <c r="F64" s="100"/>
      <c r="G64" s="16">
        <f>G62+G63</f>
        <v>3635124</v>
      </c>
      <c r="H64" s="16">
        <f>H62+H63</f>
        <v>0</v>
      </c>
      <c r="I64" s="16">
        <f>I62+I63</f>
        <v>3635124</v>
      </c>
      <c r="J64" s="16">
        <f>J62+J63</f>
        <v>3635124</v>
      </c>
    </row>
    <row r="65" spans="1:10" s="66" customFormat="1" ht="31.5">
      <c r="A65" s="36" t="s">
        <v>170</v>
      </c>
      <c r="B65" s="30" t="s">
        <v>171</v>
      </c>
      <c r="C65" s="30" t="s">
        <v>172</v>
      </c>
      <c r="D65" s="65" t="s">
        <v>173</v>
      </c>
      <c r="E65" s="137" t="s">
        <v>210</v>
      </c>
      <c r="F65" s="140" t="s">
        <v>249</v>
      </c>
      <c r="G65" s="47">
        <f t="shared" si="3"/>
        <v>3372000</v>
      </c>
      <c r="H65" s="47">
        <f>1846500+560000+65000+180000+380000+275000</f>
        <v>3306500</v>
      </c>
      <c r="I65" s="89">
        <f>18500+17000+30000</f>
        <v>65500</v>
      </c>
      <c r="J65" s="89">
        <f>18500+17000+30000</f>
        <v>65500</v>
      </c>
    </row>
    <row r="66" spans="1:11" s="68" customFormat="1" ht="29.25" customHeight="1">
      <c r="A66" s="28" t="s">
        <v>177</v>
      </c>
      <c r="B66" s="26" t="s">
        <v>178</v>
      </c>
      <c r="C66" s="26" t="s">
        <v>179</v>
      </c>
      <c r="D66" s="29" t="s">
        <v>180</v>
      </c>
      <c r="E66" s="138"/>
      <c r="F66" s="129"/>
      <c r="G66" s="47">
        <f t="shared" si="3"/>
        <v>100000</v>
      </c>
      <c r="H66" s="48">
        <v>100000</v>
      </c>
      <c r="I66" s="48"/>
      <c r="J66" s="16"/>
      <c r="K66" s="67"/>
    </row>
    <row r="67" spans="1:10" s="68" customFormat="1" ht="29.25" customHeight="1">
      <c r="A67" s="36" t="s">
        <v>188</v>
      </c>
      <c r="B67" s="30" t="s">
        <v>186</v>
      </c>
      <c r="C67" s="30" t="s">
        <v>37</v>
      </c>
      <c r="D67" s="69" t="s">
        <v>189</v>
      </c>
      <c r="E67" s="138"/>
      <c r="F67" s="129"/>
      <c r="G67" s="47">
        <f t="shared" si="3"/>
        <v>39000</v>
      </c>
      <c r="H67" s="48">
        <f>34000+5000</f>
        <v>39000</v>
      </c>
      <c r="I67" s="48"/>
      <c r="J67" s="16"/>
    </row>
    <row r="68" spans="1:10" s="50" customFormat="1" ht="30">
      <c r="A68" s="28" t="s">
        <v>158</v>
      </c>
      <c r="B68" s="26" t="s">
        <v>159</v>
      </c>
      <c r="C68" s="26" t="s">
        <v>37</v>
      </c>
      <c r="D68" s="63" t="s">
        <v>160</v>
      </c>
      <c r="E68" s="138"/>
      <c r="F68" s="129"/>
      <c r="G68" s="20">
        <f t="shared" si="3"/>
        <v>356000</v>
      </c>
      <c r="H68" s="48">
        <f>156000+50000+50000+100000</f>
        <v>356000</v>
      </c>
      <c r="I68" s="48"/>
      <c r="J68" s="47"/>
    </row>
    <row r="69" spans="1:10" s="50" customFormat="1" ht="30">
      <c r="A69" s="28" t="s">
        <v>161</v>
      </c>
      <c r="B69" s="26" t="s">
        <v>162</v>
      </c>
      <c r="C69" s="26" t="s">
        <v>37</v>
      </c>
      <c r="D69" s="70" t="s">
        <v>163</v>
      </c>
      <c r="E69" s="138"/>
      <c r="F69" s="129"/>
      <c r="G69" s="20">
        <f t="shared" si="3"/>
        <v>195000</v>
      </c>
      <c r="H69" s="47">
        <f>184000+3000+8000</f>
        <v>195000</v>
      </c>
      <c r="I69" s="48"/>
      <c r="J69" s="47"/>
    </row>
    <row r="70" spans="1:10" ht="45">
      <c r="A70" s="26" t="s">
        <v>35</v>
      </c>
      <c r="B70" s="26" t="s">
        <v>36</v>
      </c>
      <c r="C70" s="26" t="s">
        <v>37</v>
      </c>
      <c r="D70" s="63" t="s">
        <v>27</v>
      </c>
      <c r="E70" s="138"/>
      <c r="F70" s="129"/>
      <c r="G70" s="20">
        <f t="shared" si="3"/>
        <v>1493571</v>
      </c>
      <c r="H70" s="20">
        <f>600000+538571+105500</f>
        <v>1244071</v>
      </c>
      <c r="I70" s="92">
        <f>35000+214500</f>
        <v>249500</v>
      </c>
      <c r="J70" s="99">
        <f>I70</f>
        <v>249500</v>
      </c>
    </row>
    <row r="71" spans="1:10" ht="15.75">
      <c r="A71" s="26" t="s">
        <v>38</v>
      </c>
      <c r="B71" s="26" t="s">
        <v>39</v>
      </c>
      <c r="C71" s="26" t="s">
        <v>37</v>
      </c>
      <c r="D71" s="63" t="s">
        <v>28</v>
      </c>
      <c r="E71" s="138"/>
      <c r="F71" s="129"/>
      <c r="G71" s="20">
        <f t="shared" si="3"/>
        <v>8032293</v>
      </c>
      <c r="H71" s="21">
        <f>-400000+8626293-150000-186000+50000+80000</f>
        <v>8020293</v>
      </c>
      <c r="I71" s="92">
        <f>12000</f>
        <v>12000</v>
      </c>
      <c r="J71" s="99">
        <f>I71</f>
        <v>12000</v>
      </c>
    </row>
    <row r="72" spans="1:10" ht="31.5">
      <c r="A72" s="36" t="s">
        <v>190</v>
      </c>
      <c r="B72" s="30" t="s">
        <v>187</v>
      </c>
      <c r="C72" s="30" t="s">
        <v>191</v>
      </c>
      <c r="D72" s="69" t="s">
        <v>192</v>
      </c>
      <c r="E72" s="138"/>
      <c r="F72" s="129"/>
      <c r="G72" s="20">
        <f t="shared" si="3"/>
        <v>73000</v>
      </c>
      <c r="H72" s="21">
        <f>30000+43000</f>
        <v>73000</v>
      </c>
      <c r="I72" s="21"/>
      <c r="J72" s="20"/>
    </row>
    <row r="73" spans="1:10" ht="15.75">
      <c r="A73" s="36" t="s">
        <v>139</v>
      </c>
      <c r="B73" s="30" t="s">
        <v>140</v>
      </c>
      <c r="C73" s="30" t="s">
        <v>141</v>
      </c>
      <c r="D73" s="69" t="s">
        <v>142</v>
      </c>
      <c r="E73" s="138"/>
      <c r="F73" s="129"/>
      <c r="G73" s="20">
        <f t="shared" si="3"/>
        <v>270000</v>
      </c>
      <c r="H73" s="21">
        <f>200000+30000+40000</f>
        <v>270000</v>
      </c>
      <c r="I73" s="21"/>
      <c r="J73" s="20"/>
    </row>
    <row r="74" spans="1:10" ht="17.25" customHeight="1">
      <c r="A74" s="106" t="s">
        <v>107</v>
      </c>
      <c r="B74" s="107"/>
      <c r="C74" s="107"/>
      <c r="D74" s="107"/>
      <c r="E74" s="139"/>
      <c r="F74" s="130"/>
      <c r="G74" s="16">
        <f>G65+G66+G67+G68+G69+G70+G71+G72+G73</f>
        <v>13930864</v>
      </c>
      <c r="H74" s="16">
        <f>H65+H66+H67+H68+H69+H70+H71+H72+H73</f>
        <v>13603864</v>
      </c>
      <c r="I74" s="16">
        <f>I65+I66+I67+I68+I69+I70+I71+I72+I73</f>
        <v>327000</v>
      </c>
      <c r="J74" s="16">
        <f>J65+J66+J67+J68+J69+J70+J71+J72+J73</f>
        <v>327000</v>
      </c>
    </row>
    <row r="75" spans="1:10" ht="17.25" customHeight="1">
      <c r="A75" s="26" t="s">
        <v>45</v>
      </c>
      <c r="B75" s="71">
        <v>1010</v>
      </c>
      <c r="C75" s="26" t="s">
        <v>59</v>
      </c>
      <c r="D75" s="32" t="s">
        <v>64</v>
      </c>
      <c r="E75" s="113" t="s">
        <v>181</v>
      </c>
      <c r="F75" s="111" t="s">
        <v>185</v>
      </c>
      <c r="G75" s="20">
        <f aca="true" t="shared" si="4" ref="G75:G80">H75+I75</f>
        <v>27489</v>
      </c>
      <c r="H75" s="21">
        <f>1729+25760</f>
        <v>27489</v>
      </c>
      <c r="I75" s="44"/>
      <c r="J75" s="16"/>
    </row>
    <row r="76" spans="1:10" ht="60" customHeight="1">
      <c r="A76" s="26" t="s">
        <v>46</v>
      </c>
      <c r="B76" s="71">
        <v>1020</v>
      </c>
      <c r="C76" s="26" t="s">
        <v>60</v>
      </c>
      <c r="D76" s="32" t="s">
        <v>65</v>
      </c>
      <c r="E76" s="127"/>
      <c r="F76" s="129"/>
      <c r="G76" s="20">
        <f t="shared" si="4"/>
        <v>172899</v>
      </c>
      <c r="H76" s="21">
        <f>(31110*3)+28020+18570+28980+3999</f>
        <v>172899</v>
      </c>
      <c r="I76" s="44"/>
      <c r="J76" s="16"/>
    </row>
    <row r="77" spans="1:10" ht="30" customHeight="1">
      <c r="A77" s="36" t="s">
        <v>51</v>
      </c>
      <c r="B77" s="30" t="s">
        <v>58</v>
      </c>
      <c r="C77" s="30" t="s">
        <v>63</v>
      </c>
      <c r="D77" s="58" t="s">
        <v>70</v>
      </c>
      <c r="E77" s="127"/>
      <c r="F77" s="129"/>
      <c r="G77" s="20">
        <f t="shared" si="4"/>
        <v>18570</v>
      </c>
      <c r="H77" s="21">
        <v>18570</v>
      </c>
      <c r="I77" s="44"/>
      <c r="J77" s="16"/>
    </row>
    <row r="78" spans="1:10" ht="30" customHeight="1">
      <c r="A78" s="72" t="s">
        <v>236</v>
      </c>
      <c r="B78" s="30" t="s">
        <v>182</v>
      </c>
      <c r="C78" s="30" t="s">
        <v>183</v>
      </c>
      <c r="D78" s="62" t="s">
        <v>184</v>
      </c>
      <c r="E78" s="127"/>
      <c r="F78" s="129"/>
      <c r="G78" s="20">
        <f>H78+I78</f>
        <v>40000</v>
      </c>
      <c r="H78" s="20">
        <f>5000+35000</f>
        <v>40000</v>
      </c>
      <c r="I78" s="20"/>
      <c r="J78" s="20"/>
    </row>
    <row r="79" spans="1:10" s="25" customFormat="1" ht="17.25" customHeight="1">
      <c r="A79" s="106" t="s">
        <v>107</v>
      </c>
      <c r="B79" s="124"/>
      <c r="C79" s="124"/>
      <c r="D79" s="124"/>
      <c r="E79" s="128"/>
      <c r="F79" s="130"/>
      <c r="G79" s="44">
        <f>G75+G76+G77+G78</f>
        <v>258958</v>
      </c>
      <c r="H79" s="44">
        <f>H75+H76+H77+H78</f>
        <v>258958</v>
      </c>
      <c r="I79" s="44">
        <f>I78+I75+I76+I77</f>
        <v>0</v>
      </c>
      <c r="J79" s="16">
        <f>J78+J75+J76+J77</f>
        <v>0</v>
      </c>
    </row>
    <row r="80" spans="1:10" ht="30" customHeight="1">
      <c r="A80" s="26" t="s">
        <v>135</v>
      </c>
      <c r="B80" s="26" t="s">
        <v>136</v>
      </c>
      <c r="C80" s="26" t="s">
        <v>137</v>
      </c>
      <c r="D80" s="32" t="s">
        <v>138</v>
      </c>
      <c r="E80" s="141" t="s">
        <v>176</v>
      </c>
      <c r="F80" s="121" t="s">
        <v>196</v>
      </c>
      <c r="G80" s="16">
        <f t="shared" si="4"/>
        <v>154956</v>
      </c>
      <c r="H80" s="59">
        <f>154956</f>
        <v>154956</v>
      </c>
      <c r="I80" s="59"/>
      <c r="J80" s="47"/>
    </row>
    <row r="81" spans="1:10" ht="15.75">
      <c r="A81" s="26" t="s">
        <v>18</v>
      </c>
      <c r="B81" s="26" t="s">
        <v>19</v>
      </c>
      <c r="C81" s="26" t="s">
        <v>20</v>
      </c>
      <c r="D81" s="33" t="s">
        <v>17</v>
      </c>
      <c r="E81" s="142"/>
      <c r="F81" s="116"/>
      <c r="G81" s="16">
        <f aca="true" t="shared" si="5" ref="G81:G88">H81+I81</f>
        <v>45000</v>
      </c>
      <c r="H81" s="59">
        <f>45000</f>
        <v>45000</v>
      </c>
      <c r="I81" s="59"/>
      <c r="J81" s="47"/>
    </row>
    <row r="82" spans="1:10" ht="15.75">
      <c r="A82" s="26" t="s">
        <v>45</v>
      </c>
      <c r="B82" s="71">
        <v>1010</v>
      </c>
      <c r="C82" s="26" t="s">
        <v>59</v>
      </c>
      <c r="D82" s="32" t="s">
        <v>64</v>
      </c>
      <c r="E82" s="142"/>
      <c r="F82" s="116"/>
      <c r="G82" s="16">
        <f t="shared" si="5"/>
        <v>3000</v>
      </c>
      <c r="H82" s="59">
        <v>3000</v>
      </c>
      <c r="I82" s="59"/>
      <c r="J82" s="47"/>
    </row>
    <row r="83" spans="1:10" ht="60">
      <c r="A83" s="26" t="s">
        <v>46</v>
      </c>
      <c r="B83" s="71">
        <v>1020</v>
      </c>
      <c r="C83" s="26" t="s">
        <v>60</v>
      </c>
      <c r="D83" s="32" t="s">
        <v>65</v>
      </c>
      <c r="E83" s="142"/>
      <c r="F83" s="116"/>
      <c r="G83" s="16">
        <f t="shared" si="5"/>
        <v>17000</v>
      </c>
      <c r="H83" s="59">
        <f>7000+10000</f>
        <v>17000</v>
      </c>
      <c r="I83" s="59"/>
      <c r="J83" s="47"/>
    </row>
    <row r="84" spans="1:10" ht="30" customHeight="1">
      <c r="A84" s="26" t="s">
        <v>143</v>
      </c>
      <c r="B84" s="26" t="s">
        <v>136</v>
      </c>
      <c r="C84" s="26" t="s">
        <v>137</v>
      </c>
      <c r="D84" s="32" t="s">
        <v>138</v>
      </c>
      <c r="E84" s="142"/>
      <c r="F84" s="116"/>
      <c r="G84" s="16">
        <f t="shared" si="5"/>
        <v>25000</v>
      </c>
      <c r="H84" s="59">
        <f>10000+15000</f>
        <v>25000</v>
      </c>
      <c r="I84" s="59"/>
      <c r="J84" s="47"/>
    </row>
    <row r="85" spans="1:10" ht="30">
      <c r="A85" s="26" t="s">
        <v>144</v>
      </c>
      <c r="B85" s="26" t="s">
        <v>145</v>
      </c>
      <c r="C85" s="26" t="s">
        <v>146</v>
      </c>
      <c r="D85" s="32" t="s">
        <v>147</v>
      </c>
      <c r="E85" s="142"/>
      <c r="F85" s="116"/>
      <c r="G85" s="16">
        <f t="shared" si="5"/>
        <v>54020</v>
      </c>
      <c r="H85" s="59">
        <f>20000+34020</f>
        <v>54020</v>
      </c>
      <c r="I85" s="59"/>
      <c r="J85" s="47"/>
    </row>
    <row r="86" spans="1:10" ht="15.75">
      <c r="A86" s="26" t="s">
        <v>91</v>
      </c>
      <c r="B86" s="26" t="s">
        <v>94</v>
      </c>
      <c r="C86" s="26" t="s">
        <v>32</v>
      </c>
      <c r="D86" s="32" t="s">
        <v>97</v>
      </c>
      <c r="E86" s="142"/>
      <c r="F86" s="116"/>
      <c r="G86" s="16">
        <f t="shared" si="5"/>
        <v>10000</v>
      </c>
      <c r="H86" s="59">
        <v>10000</v>
      </c>
      <c r="I86" s="59"/>
      <c r="J86" s="47"/>
    </row>
    <row r="87" spans="1:10" ht="17.25" customHeight="1">
      <c r="A87" s="26" t="s">
        <v>148</v>
      </c>
      <c r="B87" s="26" t="s">
        <v>149</v>
      </c>
      <c r="C87" s="26" t="s">
        <v>63</v>
      </c>
      <c r="D87" s="32" t="s">
        <v>150</v>
      </c>
      <c r="E87" s="142"/>
      <c r="F87" s="116"/>
      <c r="G87" s="16">
        <f t="shared" si="5"/>
        <v>19000</v>
      </c>
      <c r="H87" s="59">
        <f>9000+10000</f>
        <v>19000</v>
      </c>
      <c r="I87" s="59"/>
      <c r="J87" s="47"/>
    </row>
    <row r="88" spans="1:10" ht="27.75" customHeight="1">
      <c r="A88" s="26" t="s">
        <v>151</v>
      </c>
      <c r="B88" s="26" t="s">
        <v>136</v>
      </c>
      <c r="C88" s="26" t="s">
        <v>137</v>
      </c>
      <c r="D88" s="32" t="s">
        <v>138</v>
      </c>
      <c r="E88" s="142"/>
      <c r="F88" s="116"/>
      <c r="G88" s="16">
        <f t="shared" si="5"/>
        <v>33000</v>
      </c>
      <c r="H88" s="59">
        <f>5000+28000</f>
        <v>33000</v>
      </c>
      <c r="I88" s="59"/>
      <c r="J88" s="47"/>
    </row>
    <row r="89" spans="1:10" ht="15">
      <c r="A89" s="106" t="s">
        <v>107</v>
      </c>
      <c r="B89" s="122"/>
      <c r="C89" s="122"/>
      <c r="D89" s="123"/>
      <c r="E89" s="143"/>
      <c r="F89" s="117"/>
      <c r="G89" s="73">
        <f>G80+G81+G82+G83+G84+G85+G86+G87+G88</f>
        <v>360976</v>
      </c>
      <c r="H89" s="73">
        <f>H80+H81+H82+H83+H84+H85+H86+H87+H88</f>
        <v>360976</v>
      </c>
      <c r="I89" s="59"/>
      <c r="J89" s="47"/>
    </row>
    <row r="90" spans="1:10" ht="20.25" customHeight="1">
      <c r="A90" s="36" t="s">
        <v>45</v>
      </c>
      <c r="B90" s="30" t="s">
        <v>52</v>
      </c>
      <c r="C90" s="30" t="s">
        <v>59</v>
      </c>
      <c r="D90" s="58" t="s">
        <v>64</v>
      </c>
      <c r="E90" s="113" t="s">
        <v>225</v>
      </c>
      <c r="F90" s="111" t="s">
        <v>250</v>
      </c>
      <c r="G90" s="16">
        <f>H90+I90</f>
        <v>624001</v>
      </c>
      <c r="H90" s="73"/>
      <c r="I90" s="90">
        <f>430173+123000+38806+4022+28000</f>
        <v>624001</v>
      </c>
      <c r="J90" s="89">
        <f>I90-28000</f>
        <v>596001</v>
      </c>
    </row>
    <row r="91" spans="1:11" ht="60">
      <c r="A91" s="28" t="s">
        <v>46</v>
      </c>
      <c r="B91" s="26" t="s">
        <v>53</v>
      </c>
      <c r="C91" s="26" t="s">
        <v>60</v>
      </c>
      <c r="D91" s="32" t="s">
        <v>65</v>
      </c>
      <c r="E91" s="114"/>
      <c r="F91" s="116"/>
      <c r="G91" s="16">
        <f>H91+I91</f>
        <v>1574395</v>
      </c>
      <c r="H91" s="73"/>
      <c r="I91" s="90">
        <f>269833+185000+188397+606770+193777+13600+2018+65000+50000</f>
        <v>1574395</v>
      </c>
      <c r="J91" s="89">
        <f>I91-185000-28000</f>
        <v>1361395</v>
      </c>
      <c r="K91" s="74"/>
    </row>
    <row r="92" spans="1:10" ht="18.75" customHeight="1">
      <c r="A92" s="28" t="s">
        <v>170</v>
      </c>
      <c r="B92" s="26" t="s">
        <v>171</v>
      </c>
      <c r="C92" s="26" t="s">
        <v>172</v>
      </c>
      <c r="D92" s="27" t="s">
        <v>173</v>
      </c>
      <c r="E92" s="114"/>
      <c r="F92" s="116"/>
      <c r="G92" s="16">
        <f aca="true" t="shared" si="6" ref="G92:G100">H92+I92</f>
        <v>759542</v>
      </c>
      <c r="H92" s="73"/>
      <c r="I92" s="90">
        <f>441542+311000+7000</f>
        <v>759542</v>
      </c>
      <c r="J92" s="89">
        <f>I92-7000</f>
        <v>752542</v>
      </c>
    </row>
    <row r="93" spans="1:10" ht="43.5" customHeight="1">
      <c r="A93" s="28" t="s">
        <v>226</v>
      </c>
      <c r="B93" s="26" t="s">
        <v>227</v>
      </c>
      <c r="C93" s="26" t="s">
        <v>53</v>
      </c>
      <c r="D93" s="33" t="s">
        <v>228</v>
      </c>
      <c r="E93" s="114"/>
      <c r="F93" s="116"/>
      <c r="G93" s="16">
        <f t="shared" si="6"/>
        <v>5512300</v>
      </c>
      <c r="H93" s="73"/>
      <c r="I93" s="90">
        <f>3953000+1650000+40000-200000+69300</f>
        <v>5512300</v>
      </c>
      <c r="J93" s="89">
        <f aca="true" t="shared" si="7" ref="J93:J99">I93</f>
        <v>5512300</v>
      </c>
    </row>
    <row r="94" spans="1:10" ht="20.25" customHeight="1">
      <c r="A94" s="36" t="s">
        <v>148</v>
      </c>
      <c r="B94" s="30" t="s">
        <v>149</v>
      </c>
      <c r="C94" s="30" t="s">
        <v>63</v>
      </c>
      <c r="D94" s="58" t="s">
        <v>150</v>
      </c>
      <c r="E94" s="114"/>
      <c r="F94" s="116"/>
      <c r="G94" s="16">
        <f t="shared" si="6"/>
        <v>37000</v>
      </c>
      <c r="H94" s="73"/>
      <c r="I94" s="90">
        <v>37000</v>
      </c>
      <c r="J94" s="89">
        <f t="shared" si="7"/>
        <v>37000</v>
      </c>
    </row>
    <row r="95" spans="1:10" ht="45">
      <c r="A95" s="28" t="s">
        <v>35</v>
      </c>
      <c r="B95" s="26" t="s">
        <v>36</v>
      </c>
      <c r="C95" s="26" t="s">
        <v>37</v>
      </c>
      <c r="D95" s="33" t="s">
        <v>27</v>
      </c>
      <c r="E95" s="114"/>
      <c r="F95" s="116"/>
      <c r="G95" s="16">
        <f t="shared" si="6"/>
        <v>190075</v>
      </c>
      <c r="H95" s="73"/>
      <c r="I95" s="90">
        <f>159275+199500+30800-199500</f>
        <v>190075</v>
      </c>
      <c r="J95" s="89">
        <f t="shared" si="7"/>
        <v>190075</v>
      </c>
    </row>
    <row r="96" spans="1:11" ht="15.75">
      <c r="A96" s="28" t="s">
        <v>38</v>
      </c>
      <c r="B96" s="26" t="s">
        <v>39</v>
      </c>
      <c r="C96" s="26" t="s">
        <v>37</v>
      </c>
      <c r="D96" s="33" t="s">
        <v>28</v>
      </c>
      <c r="E96" s="114"/>
      <c r="F96" s="116"/>
      <c r="G96" s="16">
        <f t="shared" si="6"/>
        <v>1564205</v>
      </c>
      <c r="H96" s="59">
        <f>381000+700000</f>
        <v>1081000</v>
      </c>
      <c r="I96" s="89">
        <f>119000+150000+8205-39560+49000+119000+77560</f>
        <v>483205</v>
      </c>
      <c r="J96" s="89">
        <f>I96-49000-49000</f>
        <v>385205</v>
      </c>
      <c r="K96" s="74"/>
    </row>
    <row r="97" spans="1:10" ht="33" customHeight="1">
      <c r="A97" s="28" t="s">
        <v>229</v>
      </c>
      <c r="B97" s="26" t="s">
        <v>230</v>
      </c>
      <c r="C97" s="26" t="s">
        <v>113</v>
      </c>
      <c r="D97" s="33" t="s">
        <v>231</v>
      </c>
      <c r="E97" s="114"/>
      <c r="F97" s="116"/>
      <c r="G97" s="16">
        <f t="shared" si="6"/>
        <v>2608600</v>
      </c>
      <c r="H97" s="73"/>
      <c r="I97" s="90">
        <f>2058600+550000</f>
        <v>2608600</v>
      </c>
      <c r="J97" s="89">
        <f t="shared" si="7"/>
        <v>2608600</v>
      </c>
    </row>
    <row r="98" spans="1:10" ht="30" customHeight="1">
      <c r="A98" s="26" t="s">
        <v>108</v>
      </c>
      <c r="B98" s="26" t="s">
        <v>109</v>
      </c>
      <c r="C98" s="26" t="s">
        <v>110</v>
      </c>
      <c r="D98" s="75" t="s">
        <v>111</v>
      </c>
      <c r="E98" s="114"/>
      <c r="F98" s="116"/>
      <c r="G98" s="16">
        <f t="shared" si="6"/>
        <v>8171738</v>
      </c>
      <c r="H98" s="20">
        <f>3007000-1100000+186000+200000+80000</f>
        <v>2373000</v>
      </c>
      <c r="I98" s="92">
        <f>900000+519567+42686+42925+761000-363440+1496000+2400000</f>
        <v>5798738</v>
      </c>
      <c r="J98" s="89">
        <f t="shared" si="7"/>
        <v>5798738</v>
      </c>
    </row>
    <row r="99" spans="1:10" ht="15.75">
      <c r="A99" s="28" t="s">
        <v>232</v>
      </c>
      <c r="B99" s="26" t="s">
        <v>233</v>
      </c>
      <c r="C99" s="26" t="s">
        <v>19</v>
      </c>
      <c r="D99" s="64" t="s">
        <v>234</v>
      </c>
      <c r="E99" s="114"/>
      <c r="F99" s="116"/>
      <c r="G99" s="16">
        <f t="shared" si="6"/>
        <v>794580</v>
      </c>
      <c r="H99" s="73"/>
      <c r="I99" s="98">
        <f>7175844+738891-1850278-2763968+55689-2561598</f>
        <v>794580</v>
      </c>
      <c r="J99" s="89">
        <f t="shared" si="7"/>
        <v>794580</v>
      </c>
    </row>
    <row r="100" spans="1:10" ht="15.75">
      <c r="A100" s="106" t="s">
        <v>107</v>
      </c>
      <c r="B100" s="107"/>
      <c r="C100" s="107"/>
      <c r="D100" s="118"/>
      <c r="E100" s="115"/>
      <c r="F100" s="117"/>
      <c r="G100" s="16">
        <f t="shared" si="6"/>
        <v>21836436</v>
      </c>
      <c r="H100" s="16">
        <f>H90+H91+H92+H93+H94+H95+H96+H97+H98+H99</f>
        <v>3454000</v>
      </c>
      <c r="I100" s="16">
        <f>I90+I91+I92+I93+I94+I95+I96+I97+I98+I99</f>
        <v>18382436</v>
      </c>
      <c r="J100" s="16">
        <f>J90+J91+J92+J93+J94+J95+J96+J97+J98+J99</f>
        <v>18036436</v>
      </c>
    </row>
    <row r="101" spans="1:11" ht="15.75">
      <c r="A101" s="12" t="s">
        <v>6</v>
      </c>
      <c r="B101" s="12" t="s">
        <v>6</v>
      </c>
      <c r="C101" s="12" t="s">
        <v>6</v>
      </c>
      <c r="D101" s="76" t="s">
        <v>7</v>
      </c>
      <c r="E101" s="14" t="s">
        <v>6</v>
      </c>
      <c r="F101" s="14" t="s">
        <v>6</v>
      </c>
      <c r="G101" s="16">
        <f>G11+G27+G38+G49+G55+G61</f>
        <v>116445238.49000001</v>
      </c>
      <c r="H101" s="16">
        <f>H11+H27+H38+H49+H55+H61</f>
        <v>91639333.49000001</v>
      </c>
      <c r="I101" s="16">
        <f>I11+I27+I38+I49+I55+I61</f>
        <v>24805905</v>
      </c>
      <c r="J101" s="16">
        <f>J11+J27+J38+J49+J55+J61</f>
        <v>24459905</v>
      </c>
      <c r="K101" s="74"/>
    </row>
    <row r="103" ht="57.75" customHeight="1">
      <c r="I103" s="77"/>
    </row>
    <row r="104" spans="1:10" s="82" customFormat="1" ht="20.25">
      <c r="A104" s="78"/>
      <c r="B104" s="78"/>
      <c r="C104" s="78"/>
      <c r="D104" s="79" t="s">
        <v>240</v>
      </c>
      <c r="E104" s="80"/>
      <c r="F104" s="80"/>
      <c r="G104" s="79" t="s">
        <v>241</v>
      </c>
      <c r="H104" s="81"/>
      <c r="I104" s="81"/>
      <c r="J104" s="104"/>
    </row>
    <row r="105" spans="9:10" ht="15">
      <c r="I105" s="8">
        <f>J105+346000</f>
        <v>24805905</v>
      </c>
      <c r="J105" s="6">
        <f>24459905</f>
        <v>24459905</v>
      </c>
    </row>
    <row r="106" spans="7:11" ht="15.75">
      <c r="G106" s="83"/>
      <c r="H106" s="84"/>
      <c r="I106" s="85">
        <f>I105-I101</f>
        <v>0</v>
      </c>
      <c r="J106" s="119">
        <f>J105-J101</f>
        <v>0</v>
      </c>
      <c r="K106" s="120"/>
    </row>
    <row r="107" spans="7:11" ht="15.75">
      <c r="G107" s="83"/>
      <c r="H107" s="84"/>
      <c r="I107" s="84"/>
      <c r="J107" s="125"/>
      <c r="K107" s="126"/>
    </row>
    <row r="108" spans="7:10" ht="15.75">
      <c r="G108" s="101"/>
      <c r="H108" s="102"/>
      <c r="I108" s="84"/>
      <c r="J108" s="105"/>
    </row>
    <row r="109" spans="7:10" ht="15.75">
      <c r="G109" s="131"/>
      <c r="H109" s="132"/>
      <c r="I109" s="87"/>
      <c r="J109" s="83"/>
    </row>
    <row r="110" spans="7:10" ht="15.75">
      <c r="G110" s="101"/>
      <c r="H110" s="102"/>
      <c r="I110" s="88"/>
      <c r="J110" s="83"/>
    </row>
    <row r="111" spans="7:10" ht="15.75">
      <c r="G111" s="101"/>
      <c r="H111" s="102"/>
      <c r="I111" s="84"/>
      <c r="J111" s="83"/>
    </row>
    <row r="112" spans="7:10" ht="15.75">
      <c r="G112" s="83"/>
      <c r="H112" s="84"/>
      <c r="I112" s="84"/>
      <c r="J112" s="83"/>
    </row>
    <row r="117" ht="15">
      <c r="I117" s="86"/>
    </row>
  </sheetData>
  <sheetProtection/>
  <mergeCells count="70">
    <mergeCell ref="G1:J1"/>
    <mergeCell ref="G2:J2"/>
    <mergeCell ref="G3:J3"/>
    <mergeCell ref="G4:J4"/>
    <mergeCell ref="G8:G9"/>
    <mergeCell ref="H8:H9"/>
    <mergeCell ref="I8:J8"/>
    <mergeCell ref="A8:A9"/>
    <mergeCell ref="B8:B9"/>
    <mergeCell ref="C8:C9"/>
    <mergeCell ref="D8:D9"/>
    <mergeCell ref="E8:E9"/>
    <mergeCell ref="F8:F9"/>
    <mergeCell ref="A11:C11"/>
    <mergeCell ref="D11:F11"/>
    <mergeCell ref="A12:A15"/>
    <mergeCell ref="B12:B15"/>
    <mergeCell ref="C12:C15"/>
    <mergeCell ref="D12:D15"/>
    <mergeCell ref="A16:D16"/>
    <mergeCell ref="E17:E18"/>
    <mergeCell ref="F17:F18"/>
    <mergeCell ref="E21:E22"/>
    <mergeCell ref="F21:F22"/>
    <mergeCell ref="A27:C27"/>
    <mergeCell ref="D27:F27"/>
    <mergeCell ref="F29:F37"/>
    <mergeCell ref="A37:D37"/>
    <mergeCell ref="A38:C38"/>
    <mergeCell ref="D38:F38"/>
    <mergeCell ref="E40:E43"/>
    <mergeCell ref="F40:F43"/>
    <mergeCell ref="A43:D43"/>
    <mergeCell ref="E28:E37"/>
    <mergeCell ref="A44:A47"/>
    <mergeCell ref="B44:B47"/>
    <mergeCell ref="C44:C47"/>
    <mergeCell ref="D44:E44"/>
    <mergeCell ref="E47:E48"/>
    <mergeCell ref="F47:F48"/>
    <mergeCell ref="D49:F49"/>
    <mergeCell ref="A55:C55"/>
    <mergeCell ref="D55:F55"/>
    <mergeCell ref="A57:A59"/>
    <mergeCell ref="B57:B59"/>
    <mergeCell ref="C57:C59"/>
    <mergeCell ref="D57:D59"/>
    <mergeCell ref="E59:E60"/>
    <mergeCell ref="E50:E52"/>
    <mergeCell ref="F50:F52"/>
    <mergeCell ref="G109:H109"/>
    <mergeCell ref="F59:F60"/>
    <mergeCell ref="A61:F61"/>
    <mergeCell ref="E65:E74"/>
    <mergeCell ref="F65:F74"/>
    <mergeCell ref="A74:D74"/>
    <mergeCell ref="E80:E89"/>
    <mergeCell ref="J106:K106"/>
    <mergeCell ref="F80:F89"/>
    <mergeCell ref="A89:D89"/>
    <mergeCell ref="A79:D79"/>
    <mergeCell ref="J107:K107"/>
    <mergeCell ref="E75:E79"/>
    <mergeCell ref="F75:F79"/>
    <mergeCell ref="A64:D64"/>
    <mergeCell ref="E62:E64"/>
    <mergeCell ref="F62:F63"/>
    <mergeCell ref="E90:E100"/>
    <mergeCell ref="F90:F100"/>
    <mergeCell ref="A100:D100"/>
  </mergeCells>
  <printOptions/>
  <pageMargins left="0.2362204724409449" right="0.1968503937007874" top="0.29" bottom="0.2755905511811024" header="0.1968503937007874" footer="0.1968503937007874"/>
  <pageSetup horizontalDpi="600" verticalDpi="600" orientation="landscape" paperSize="9" scale="62" r:id="rId1"/>
  <rowBreaks count="3" manualBreakCount="3">
    <brk id="25" max="9" man="1"/>
    <brk id="56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2019-09-30T09:31:27Z</cp:lastPrinted>
  <dcterms:created xsi:type="dcterms:W3CDTF">2018-12-04T09:08:53Z</dcterms:created>
  <dcterms:modified xsi:type="dcterms:W3CDTF">2019-12-23T16:15:58Z</dcterms:modified>
  <cp:category/>
  <cp:version/>
  <cp:contentType/>
  <cp:contentStatus/>
</cp:coreProperties>
</file>