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7 (2)" sheetId="1" r:id="rId1"/>
  </sheets>
  <definedNames>
    <definedName name="_xlnm.Print_Area" localSheetId="0">'додаток 7 (2)'!$A$1:$J$118</definedName>
  </definedNames>
  <calcPr fullCalcOnLoad="1"/>
</workbook>
</file>

<file path=xl/sharedStrings.xml><?xml version="1.0" encoding="utf-8"?>
<sst xmlns="http://schemas.openxmlformats.org/spreadsheetml/2006/main" count="408" uniqueCount="276">
  <si>
    <t>(грн)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</si>
  <si>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</si>
  <si>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</si>
  <si>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</si>
  <si>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</si>
  <si>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</si>
  <si>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</si>
  <si>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УСЬОГО</t>
  </si>
  <si>
    <t>Додаток 7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</si>
  <si>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</si>
  <si>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</si>
  <si>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02</t>
  </si>
  <si>
    <t>Виконавчий комітет Березанської міської ради</t>
  </si>
  <si>
    <t>Підтримка сімї та забезпечення прав дітей "Назустріч дітям" до 2020 року</t>
  </si>
  <si>
    <t>Програма профілактики та протидії злочинності в місті Березань на 2018-2020 роки " Безпечне місто"</t>
  </si>
  <si>
    <t xml:space="preserve">Програма поводження з твердими побутовими відходами в м.Березань на 2017-2020 роки (ліквідація стихійних сміттєзвалищ) </t>
  </si>
  <si>
    <t>Програма цивільного захисту населення і територій від надзвичайних ситуацій техногенного та природного характеру, забезпечення пожежної безпеки в м.Березань на 2018-2020 роки</t>
  </si>
  <si>
    <t>Інша діяльність у сфері державного управління</t>
  </si>
  <si>
    <t>0210180</t>
  </si>
  <si>
    <t>0180</t>
  </si>
  <si>
    <t>0133</t>
  </si>
  <si>
    <t>№ 349-36-VII від 13.07.2017</t>
  </si>
  <si>
    <t>від 03.08.2018 №546-51-VII</t>
  </si>
  <si>
    <t>№ 353-36-VII від 13.07.2017</t>
  </si>
  <si>
    <t>№ 499-47-VII від 26.04.2018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</si>
  <si>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</si>
  <si>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</si>
  <si>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</si>
  <si>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</si>
  <si>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Заходи із запобігання та ліквідації надзвичайних ситуацій та наслідків стихійного лиха</t>
  </si>
  <si>
    <t>0213112</t>
  </si>
  <si>
    <t>3112</t>
  </si>
  <si>
    <t>1040</t>
  </si>
  <si>
    <t>0213140</t>
  </si>
  <si>
    <t>3140</t>
  </si>
  <si>
    <t>0216020</t>
  </si>
  <si>
    <t>6020</t>
  </si>
  <si>
    <t>0620</t>
  </si>
  <si>
    <t>0216030</t>
  </si>
  <si>
    <t>6030</t>
  </si>
  <si>
    <t>0218110</t>
  </si>
  <si>
    <t>8110</t>
  </si>
  <si>
    <t>0320</t>
  </si>
  <si>
    <t>Відділ освіти виконавчого комітету Березанської міської ради</t>
  </si>
  <si>
    <t>06</t>
  </si>
  <si>
    <t>0611010</t>
  </si>
  <si>
    <t>0611020</t>
  </si>
  <si>
    <t>0611090</t>
  </si>
  <si>
    <t>0611150</t>
  </si>
  <si>
    <t>0611161</t>
  </si>
  <si>
    <t>0611162</t>
  </si>
  <si>
    <t>0615031</t>
  </si>
  <si>
    <t>1010</t>
  </si>
  <si>
    <t>1020</t>
  </si>
  <si>
    <t>1090</t>
  </si>
  <si>
    <t>1150</t>
  </si>
  <si>
    <t>1161</t>
  </si>
  <si>
    <t>1162</t>
  </si>
  <si>
    <t>5031</t>
  </si>
  <si>
    <t>0910</t>
  </si>
  <si>
    <t>0921</t>
  </si>
  <si>
    <t>0960</t>
  </si>
  <si>
    <t>0990</t>
  </si>
  <si>
    <t>0810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</si>
  <si>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</si>
  <si>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</si>
  <si>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</si>
  <si>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</t>
  </si>
  <si>
    <t xml:space="preserve">Забезпечення діяльності інших закладів у сфері освіти 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</si>
  <si>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</si>
  <si>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</si>
  <si>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Програма розвитку системи освіти міста Березань на 2018-2020 роки</t>
  </si>
  <si>
    <t>08</t>
  </si>
  <si>
    <t>Управління соціального захисту населення та праці виконавчого комітету Березанської міської ради</t>
  </si>
  <si>
    <t>0813242</t>
  </si>
  <si>
    <t>0813192</t>
  </si>
  <si>
    <t>3242</t>
  </si>
  <si>
    <t>3192</t>
  </si>
  <si>
    <t>1030</t>
  </si>
  <si>
    <t>Інші заходи у сфері соціального захисту і соціального забезпечення</t>
  </si>
  <si>
    <t>Допомога зі скрутним становищем</t>
  </si>
  <si>
    <t>Програма соціального захисту учасників АТО та членів їх сімей м.Березань на 2017-2020 роки</t>
  </si>
  <si>
    <t>Допомога військовослужбовцям</t>
  </si>
  <si>
    <t>Програма з військово - патріотичного виховання та допризовної підготовки, підготовки молоді до служби в Збройних Силах України в м.Березань на 2016 - 2020 роки</t>
  </si>
  <si>
    <t>Матеріальна допомога</t>
  </si>
  <si>
    <t>Програма "Турбота" на 2016-2020 роки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</si>
  <si>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</si>
  <si>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№ 495-47-VII від 26.04.2018</t>
  </si>
  <si>
    <t>№ 430-43-VII від 19.12.2017</t>
  </si>
  <si>
    <t>11</t>
  </si>
  <si>
    <t>Сектор молоді та спорту виконавчого комітету Березанської міської ради</t>
  </si>
  <si>
    <t>1113133</t>
  </si>
  <si>
    <t>1115011</t>
  </si>
  <si>
    <t>1115012</t>
  </si>
  <si>
    <t>3133</t>
  </si>
  <si>
    <t>5011</t>
  </si>
  <si>
    <t>5012</t>
  </si>
  <si>
    <t>Інші заходи та заклади молодіжної політики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</si>
  <si>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</si>
  <si>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</si>
  <si>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Програма національно-патріотичного виховання та допризовної підготовки, підготовки молоді до служби в Збройних Силах України в м.Березань на 2018-2021 роки</t>
  </si>
  <si>
    <t>Програма підтримки та розвитку молоді на 2015-2020 роки "Молодь Березані"</t>
  </si>
  <si>
    <t>Програма розвитку фізичної культури та спорту "Березань спортивна" на 2017-2021 роки</t>
  </si>
  <si>
    <t xml:space="preserve">№ 470-46-VII від 20.02.2018  </t>
  </si>
  <si>
    <t>№ 500-47-VII від 26.04.2018</t>
  </si>
  <si>
    <t>№ 313-31-VII від 06.04.2017</t>
  </si>
  <si>
    <t xml:space="preserve">Комплексні програми </t>
  </si>
  <si>
    <t>Всього по програмі</t>
  </si>
  <si>
    <t>0217442</t>
  </si>
  <si>
    <t>7442</t>
  </si>
  <si>
    <t>0456</t>
  </si>
  <si>
    <t>Утримання та розвиток інших об’єктів транспортної інфраструктури</t>
  </si>
  <si>
    <t>Розподіл витрат місцевого бюджету на реалізацію місцевих/регіональних програм у 2019 році</t>
  </si>
  <si>
    <t>0490</t>
  </si>
  <si>
    <t>№ 469-52-VI від 29.06.2015</t>
  </si>
  <si>
    <t xml:space="preserve">до рішення Березанської міської ради                      </t>
  </si>
  <si>
    <t xml:space="preserve">"Про бюджет Березанської міської ради на 2019 рік" </t>
  </si>
  <si>
    <t>0813033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</si>
  <si>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</si>
  <si>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</si>
  <si>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</si>
  <si>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Програма фінансування пільгового проїзду автомобільним транспортом загального користування на 2019 рік</t>
  </si>
  <si>
    <t>№ 663-59-VII від 22.01.2019</t>
  </si>
  <si>
    <t>№ 662-59-VII від 22.01.2019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</si>
  <si>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</si>
  <si>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</si>
  <si>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</si>
  <si>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</si>
  <si>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</si>
  <si>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</si>
  <si>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</si>
  <si>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</si>
  <si>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</si>
  <si>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Програма організації надання шефської допомоги Березанському міському військовому комісаріату на 2019 рік</t>
  </si>
  <si>
    <t>Програма організації надання шефської допомоги 5-ій стрілецькій роті другого батальйону військової частини 3066 Національної гвардії України на 2019 рік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</si>
  <si>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</si>
  <si>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</si>
  <si>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</si>
  <si>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</si>
  <si>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0218410</t>
  </si>
  <si>
    <t>8410</t>
  </si>
  <si>
    <t>0830</t>
  </si>
  <si>
    <t>Фінансова підтримка засобів масової інформації</t>
  </si>
  <si>
    <t>0810160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</si>
  <si>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</si>
  <si>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</si>
  <si>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</si>
  <si>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</si>
  <si>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1115041</t>
  </si>
  <si>
    <t>5041</t>
  </si>
  <si>
    <t>Утримання та фінансова підтримка спортивних споруд</t>
  </si>
  <si>
    <t>3710160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</si>
  <si>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</si>
  <si>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</si>
  <si>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</si>
  <si>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</si>
  <si>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Програма "Централізовані заходи з лікування хворих на цукровий діабет" на 2019 рік</t>
  </si>
  <si>
    <t>№ 676-61-VII від 31.01.2019</t>
  </si>
  <si>
    <t>0216013</t>
  </si>
  <si>
    <t>6013</t>
  </si>
  <si>
    <t>Забезпечення діяльності водопровідно-каналізаційного господарства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</si>
  <si>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</si>
  <si>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</si>
  <si>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</si>
  <si>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 xml:space="preserve">№ 619-57-VII від 21.12.2018  </t>
  </si>
  <si>
    <t>0212146</t>
  </si>
  <si>
    <t>2146</t>
  </si>
  <si>
    <t>Відшкодування вартості лікарських засобів для лікування окремих захворювань</t>
  </si>
  <si>
    <t>Програма "Доступні ліки" на 2019-2020 роки</t>
  </si>
  <si>
    <t>№ 674-61-VII від 31.01.2019</t>
  </si>
  <si>
    <t>0212010</t>
  </si>
  <si>
    <t>2010</t>
  </si>
  <si>
    <t>0731</t>
  </si>
  <si>
    <t>Багатопрофільна стаціонарна медична допомога населенню</t>
  </si>
  <si>
    <t xml:space="preserve">Програма "Здоров`я" </t>
  </si>
  <si>
    <t>№ 675-61-VII від 31.01.2019</t>
  </si>
  <si>
    <t>Програма  "Висвітлення діяльності Березанської міської ради та її виконавчого комітету в ЗМІ на 2019"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</si>
  <si>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</si>
  <si>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</si>
  <si>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</si>
  <si>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</si>
  <si>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Програма підвищення енегроефективності та зменшення споживання енергоносіїв м.Березань на 2017-2020 роки</t>
  </si>
  <si>
    <t>7640</t>
  </si>
  <si>
    <t>0470</t>
  </si>
  <si>
    <t>Заходи з енергозбереження</t>
  </si>
  <si>
    <t>№352-36-7 від 13.07.2017</t>
  </si>
  <si>
    <t>6012</t>
  </si>
  <si>
    <t>6090</t>
  </si>
  <si>
    <t>0216012</t>
  </si>
  <si>
    <t>Забезпечення діяльності з виробництва, транспортування, постачання теплової енергії</t>
  </si>
  <si>
    <t>0216090</t>
  </si>
  <si>
    <t>0640</t>
  </si>
  <si>
    <t>Інша діяльність у сфері житлово-комунального господарства</t>
  </si>
  <si>
    <t>0611170</t>
  </si>
  <si>
    <t>1170</t>
  </si>
  <si>
    <t>Забезпечення діяльності інклюзивно-ресурсних центрів</t>
  </si>
  <si>
    <t>№ 670-59-VII від 22.01.2019</t>
  </si>
  <si>
    <t>Програма фінансування пільг з послуг звязку та інших передбачених законодавством пільг окремим категоріям громадян на 2019 рік</t>
  </si>
  <si>
    <t>Відділ культури та туризму виконавчого комітету Березанської міської ради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</si>
  <si>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</si>
  <si>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</si>
  <si>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</si>
  <si>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</si>
  <si>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8230</t>
  </si>
  <si>
    <t>0218230</t>
  </si>
  <si>
    <t>0380</t>
  </si>
  <si>
    <t>Інші заходи громадського порядку та безпеки</t>
  </si>
  <si>
    <t>№ 723-65-VII від 18.04.2019</t>
  </si>
  <si>
    <t xml:space="preserve">Програма організації допомоги діяльності Березанському відділенню поліції Переяслав-Хмельницького  відділу поліції  Головного управління Національної поліції в Київській області в забезпеченні охорони публічного порядку, безпеки громадян, профілактики злочинності на території міста </t>
  </si>
  <si>
    <t>Програма розвитку футболу в м. Березань на 2018-2022 роки</t>
  </si>
  <si>
    <t>Програма фінансової підтримки комунальних підприємств м.Березань на 2017-2020 роки</t>
  </si>
  <si>
    <t>1100</t>
  </si>
  <si>
    <t>Програма розвитку галузі культури і туризму в м.Березань на 2017-2020 роки</t>
  </si>
  <si>
    <t>4030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</si>
  <si>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</si>
  <si>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</si>
  <si>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</si>
  <si>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</si>
  <si>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Забезпечення діяльності бібліотек</t>
  </si>
  <si>
    <t>Підтримка діяльності Баришівського міськрайонного відділу філії державної установи «Центр пробації» у місті Києві та Київській  області  з метою забезпечення безпеки громадян шляхом виправлення засуджених  та профілактики вчинення ними повторних злочинів на  території  Березанської міської об’єднаної територіальної громади на 2019-2021 роки</t>
  </si>
  <si>
    <t>№ 745-67-VII від 16.05.2019</t>
  </si>
  <si>
    <t>№ 746-67-VII від 16.05.2019</t>
  </si>
  <si>
    <t>№ 747-67-VII від 16.05.2019</t>
  </si>
  <si>
    <t>№ 749-67-VII від 16.05.2019</t>
  </si>
  <si>
    <t>№ 751-67-VII від 16.05.2019</t>
  </si>
  <si>
    <t>Програма будівництва, реконструкції та ремонту об`єктів інфраструктури м.Березань на 2017-2020 роки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</si>
  <si>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</si>
  <si>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</si>
  <si>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</si>
  <si>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</si>
  <si>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</si>
  <si>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</si>
  <si>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3719770</t>
  </si>
  <si>
    <t>9770</t>
  </si>
  <si>
    <t xml:space="preserve">Інші субвенції з місцевого бюджету </t>
  </si>
  <si>
    <t>№ 294-30-VII від 03.03.2017</t>
  </si>
  <si>
    <t>0217640</t>
  </si>
  <si>
    <t xml:space="preserve">Програма з відзначення державних свят пам"ятних дат та заходів обласного і міського значення  на 2019 рік </t>
  </si>
  <si>
    <t>№ 808-71-VII від 26.07.2019</t>
  </si>
  <si>
    <t>0610160</t>
  </si>
  <si>
    <t>Секретар ради</t>
  </si>
  <si>
    <t>О.В.Сивак</t>
  </si>
  <si>
    <t>№ 841-74-VII від 12.09.2019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</si>
  <si>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</si>
  <si>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</si>
  <si>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</si>
  <si>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</si>
  <si>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 xml:space="preserve">«Питна вода міста Березань на 2018-2020 роки» </t>
  </si>
  <si>
    <t>№ 858-75 -VII від 26.09.2019</t>
  </si>
  <si>
    <t>№ 859-75-VII від 26.09.2019</t>
  </si>
  <si>
    <r>
      <t xml:space="preserve">Програма з відзначення державних та професійних свят, ювілейних дат, заохочення за заслуги перед містом Березань, </t>
    </r>
    <r>
      <rPr>
        <i/>
        <u val="single"/>
        <sz val="11"/>
        <rFont val="Times New Roman"/>
        <family val="1"/>
      </rPr>
      <t xml:space="preserve">здійснення представницьких </t>
    </r>
    <r>
      <rPr>
        <sz val="11"/>
        <rFont val="Times New Roman"/>
        <family val="1"/>
      </rPr>
      <t xml:space="preserve">та інших заходів на 2017-2021роки </t>
    </r>
  </si>
  <si>
    <t>Програма "Протидії захворюванню на туберкульоз на 2017-2019 роки"</t>
  </si>
  <si>
    <t>0816083</t>
  </si>
  <si>
    <t>6083</t>
  </si>
  <si>
    <t>0610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</si>
  <si>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</t>
  </si>
  <si>
    <t>№ 384-39-VII від 14.09.2017</t>
  </si>
  <si>
    <t>0217368</t>
  </si>
  <si>
    <t>Виконання інвестиційних проектів за рахунок субвенцій з інших бюджетів</t>
  </si>
  <si>
    <t>0217520</t>
  </si>
  <si>
    <t>7520</t>
  </si>
  <si>
    <t>0460</t>
  </si>
  <si>
    <t>Реалізація Національної програми інформатизації</t>
  </si>
  <si>
    <t>0617520</t>
  </si>
  <si>
    <t>0817520</t>
  </si>
  <si>
    <t>1117520</t>
  </si>
  <si>
    <t>3717520</t>
  </si>
  <si>
    <t>1017520</t>
  </si>
  <si>
    <t>Реалізація Національної програми інформатизації по ДНЗ</t>
  </si>
  <si>
    <t>Реалізація Національної програми інформатизації по ЗНЗ</t>
  </si>
  <si>
    <t>Реалізація Національної програми інформатизації по УСЗНП</t>
  </si>
  <si>
    <t>Реалізація Національної програми інформатизації по терцентру</t>
  </si>
  <si>
    <t>Реалізація Національної програми інформатизації по бібліотеках</t>
  </si>
  <si>
    <t>Реалізація Національної програми інформатизації по будинку культури</t>
  </si>
  <si>
    <t>Реалізація Національної програми інформатизації по школі естетичного виховання</t>
  </si>
  <si>
    <t>від 07.11.2019  № 891-78-VII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</si>
</sst>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_-* #,##0.0\ _₴_-;\-* #,##0.0\ _₴_-;_-* &quot;-&quot;??\ _₴_-;_-@_-"/>
    <numFmt numFmtId="196" formatCode="_-* #,##0\ _₴_-;\-* #,##0\ _₴_-;_-* &quot;-&quot;??\ _₴_-;_-@_-"/>
  </numFmts>
  <fonts count="36">
    <font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i/>
      <u val="single"/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0">
      <alignment vertical="top"/>
      <protection/>
    </xf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49" fontId="23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194" fontId="27" fillId="0" borderId="10" xfId="0" applyNumberFormat="1" applyFont="1" applyFill="1" applyBorder="1" applyAlignment="1">
      <alignment horizontal="center" vertical="center" wrapText="1"/>
    </xf>
    <xf numFmtId="194" fontId="27" fillId="24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194" fontId="20" fillId="0" borderId="10" xfId="48" applyNumberFormat="1" applyFont="1" applyFill="1" applyBorder="1" applyAlignment="1">
      <alignment horizontal="left" vertical="center" wrapText="1"/>
      <protection/>
    </xf>
    <xf numFmtId="0" fontId="19" fillId="0" borderId="10" xfId="0" applyFont="1" applyFill="1" applyBorder="1" applyAlignment="1">
      <alignment horizontal="left" vertical="center"/>
    </xf>
    <xf numFmtId="194" fontId="25" fillId="0" borderId="10" xfId="0" applyNumberFormat="1" applyFont="1" applyFill="1" applyBorder="1" applyAlignment="1">
      <alignment horizontal="center" vertical="center" wrapText="1"/>
    </xf>
    <xf numFmtId="194" fontId="25" fillId="0" borderId="10" xfId="0" applyNumberFormat="1" applyFont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left" vertical="center"/>
    </xf>
    <xf numFmtId="49" fontId="29" fillId="0" borderId="11" xfId="0" applyNumberFormat="1" applyFont="1" applyFill="1" applyBorder="1" applyAlignment="1">
      <alignment horizontal="center" vertical="center"/>
    </xf>
    <xf numFmtId="194" fontId="29" fillId="0" borderId="10" xfId="48" applyNumberFormat="1" applyFont="1" applyFill="1" applyBorder="1" applyAlignment="1">
      <alignment horizontal="left" vertical="center" wrapText="1"/>
      <protection/>
    </xf>
    <xf numFmtId="0" fontId="21" fillId="25" borderId="10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 quotePrefix="1">
      <alignment horizontal="left" vertical="center" wrapText="1"/>
    </xf>
    <xf numFmtId="49" fontId="20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justify" wrapText="1"/>
    </xf>
    <xf numFmtId="0" fontId="20" fillId="0" borderId="10" xfId="0" applyFont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 horizontal="justify"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wrapText="1"/>
    </xf>
    <xf numFmtId="0" fontId="21" fillId="0" borderId="12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25" fillId="0" borderId="10" xfId="0" applyFont="1" applyFill="1" applyBorder="1" applyAlignment="1">
      <alignment horizontal="center" vertical="center"/>
    </xf>
    <xf numFmtId="194" fontId="25" fillId="0" borderId="10" xfId="0" applyNumberFormat="1" applyFont="1" applyFill="1" applyBorder="1" applyAlignment="1">
      <alignment horizontal="center" vertical="center"/>
    </xf>
    <xf numFmtId="194" fontId="19" fillId="0" borderId="0" xfId="0" applyNumberFormat="1" applyFont="1" applyBorder="1" applyAlignment="1">
      <alignment/>
    </xf>
    <xf numFmtId="194" fontId="25" fillId="0" borderId="0" xfId="0" applyNumberFormat="1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left" wrapText="1"/>
    </xf>
    <xf numFmtId="194" fontId="27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justify" wrapText="1"/>
    </xf>
    <xf numFmtId="194" fontId="20" fillId="0" borderId="10" xfId="0" applyNumberFormat="1" applyFont="1" applyFill="1" applyBorder="1" applyAlignment="1">
      <alignment horizontal="center" vertical="center" wrapText="1"/>
    </xf>
    <xf numFmtId="194" fontId="20" fillId="25" borderId="10" xfId="0" applyNumberFormat="1" applyFont="1" applyFill="1" applyBorder="1" applyAlignment="1">
      <alignment horizontal="center" vertical="center" wrapText="1"/>
    </xf>
    <xf numFmtId="194" fontId="29" fillId="25" borderId="10" xfId="0" applyNumberFormat="1" applyFont="1" applyFill="1" applyBorder="1" applyAlignment="1">
      <alignment horizontal="center" vertical="center" wrapText="1"/>
    </xf>
    <xf numFmtId="194" fontId="29" fillId="0" borderId="10" xfId="0" applyNumberFormat="1" applyFont="1" applyFill="1" applyBorder="1" applyAlignment="1">
      <alignment horizontal="center" vertical="center" wrapText="1"/>
    </xf>
    <xf numFmtId="0" fontId="20" fillId="25" borderId="0" xfId="0" applyFont="1" applyFill="1" applyAlignment="1">
      <alignment/>
    </xf>
    <xf numFmtId="0" fontId="29" fillId="25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194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justify" vertical="center" wrapText="1"/>
    </xf>
    <xf numFmtId="194" fontId="20" fillId="0" borderId="10" xfId="48" applyNumberFormat="1" applyFont="1" applyBorder="1" applyAlignment="1">
      <alignment horizontal="left" vertical="center" wrapText="1"/>
      <protection/>
    </xf>
    <xf numFmtId="0" fontId="27" fillId="24" borderId="10" xfId="0" applyFont="1" applyFill="1" applyBorder="1" applyAlignment="1" quotePrefix="1">
      <alignment horizontal="center" vertical="center"/>
    </xf>
    <xf numFmtId="0" fontId="27" fillId="24" borderId="10" xfId="0" applyFont="1" applyFill="1" applyBorder="1" applyAlignment="1">
      <alignment vertical="center"/>
    </xf>
    <xf numFmtId="0" fontId="25" fillId="0" borderId="10" xfId="0" applyFont="1" applyBorder="1" applyAlignment="1">
      <alignment wrapText="1"/>
    </xf>
    <xf numFmtId="194" fontId="20" fillId="0" borderId="10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 wrapText="1"/>
    </xf>
    <xf numFmtId="0" fontId="20" fillId="0" borderId="11" xfId="0" applyFont="1" applyBorder="1" applyAlignment="1">
      <alignment horizontal="justify" wrapText="1"/>
    </xf>
    <xf numFmtId="0" fontId="20" fillId="0" borderId="0" xfId="0" applyFont="1" applyAlignment="1">
      <alignment wrapText="1"/>
    </xf>
    <xf numFmtId="0" fontId="19" fillId="0" borderId="13" xfId="0" applyFont="1" applyFill="1" applyBorder="1" applyAlignment="1">
      <alignment horizontal="left" vertical="center"/>
    </xf>
    <xf numFmtId="0" fontId="25" fillId="0" borderId="10" xfId="0" applyFont="1" applyFill="1" applyBorder="1" applyAlignment="1" quotePrefix="1">
      <alignment horizontal="left" vertical="center" wrapText="1"/>
    </xf>
    <xf numFmtId="0" fontId="20" fillId="0" borderId="0" xfId="0" applyFont="1" applyFill="1" applyAlignment="1">
      <alignment/>
    </xf>
    <xf numFmtId="194" fontId="19" fillId="25" borderId="0" xfId="0" applyNumberFormat="1" applyFont="1" applyFill="1" applyAlignment="1">
      <alignment/>
    </xf>
    <xf numFmtId="0" fontId="19" fillId="25" borderId="0" xfId="0" applyFont="1" applyFill="1" applyAlignment="1">
      <alignment/>
    </xf>
    <xf numFmtId="0" fontId="25" fillId="0" borderId="10" xfId="0" applyFont="1" applyBorder="1" applyAlignment="1">
      <alignment horizontal="justify" wrapText="1"/>
    </xf>
    <xf numFmtId="0" fontId="20" fillId="0" borderId="11" xfId="0" applyFont="1" applyBorder="1" applyAlignment="1">
      <alignment wrapText="1"/>
    </xf>
    <xf numFmtId="0" fontId="20" fillId="0" borderId="10" xfId="0" applyFont="1" applyBorder="1" applyAlignment="1">
      <alignment horizontal="center" vertical="center"/>
    </xf>
    <xf numFmtId="49" fontId="25" fillId="0" borderId="11" xfId="0" applyNumberFormat="1" applyFont="1" applyFill="1" applyBorder="1" applyAlignment="1">
      <alignment vertical="center"/>
    </xf>
    <xf numFmtId="194" fontId="29" fillId="0" borderId="10" xfId="0" applyNumberFormat="1" applyFont="1" applyBorder="1" applyAlignment="1">
      <alignment horizontal="center" vertical="center" wrapText="1"/>
    </xf>
    <xf numFmtId="194" fontId="19" fillId="0" borderId="0" xfId="0" applyNumberFormat="1" applyFont="1" applyAlignment="1">
      <alignment/>
    </xf>
    <xf numFmtId="0" fontId="20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vertical="top" wrapText="1"/>
    </xf>
    <xf numFmtId="0" fontId="25" fillId="0" borderId="0" xfId="0" applyFont="1" applyBorder="1" applyAlignment="1">
      <alignment horizontal="center" vertical="center" wrapText="1"/>
    </xf>
    <xf numFmtId="49" fontId="30" fillId="0" borderId="0" xfId="0" applyNumberFormat="1" applyFont="1" applyAlignment="1">
      <alignment/>
    </xf>
    <xf numFmtId="0" fontId="31" fillId="0" borderId="0" xfId="0" applyFont="1" applyAlignment="1">
      <alignment horizontal="left"/>
    </xf>
    <xf numFmtId="0" fontId="32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Alignment="1">
      <alignment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194" fontId="25" fillId="0" borderId="11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71" fontId="19" fillId="0" borderId="0" xfId="0" applyNumberFormat="1" applyFont="1" applyFill="1" applyAlignment="1">
      <alignment horizontal="center" vertical="center"/>
    </xf>
    <xf numFmtId="196" fontId="25" fillId="0" borderId="0" xfId="0" applyNumberFormat="1" applyFont="1" applyAlignment="1">
      <alignment horizontal="center" vertical="center"/>
    </xf>
    <xf numFmtId="171" fontId="25" fillId="0" borderId="0" xfId="0" applyNumberFormat="1" applyFont="1" applyAlignment="1">
      <alignment horizontal="center" vertical="center"/>
    </xf>
    <xf numFmtId="171" fontId="19" fillId="0" borderId="0" xfId="0" applyNumberFormat="1" applyFont="1" applyAlignment="1">
      <alignment horizontal="center" vertical="center"/>
    </xf>
    <xf numFmtId="194" fontId="35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19" fillId="25" borderId="12" xfId="0" applyFont="1" applyFill="1" applyBorder="1" applyAlignment="1">
      <alignment horizontal="left" vertical="center"/>
    </xf>
    <xf numFmtId="194" fontId="20" fillId="0" borderId="12" xfId="48" applyNumberFormat="1" applyFont="1" applyFill="1" applyBorder="1" applyAlignment="1">
      <alignment horizontal="left" vertical="center" wrapText="1"/>
      <protection/>
    </xf>
    <xf numFmtId="49" fontId="25" fillId="0" borderId="14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vertical="center" wrapText="1"/>
    </xf>
    <xf numFmtId="49" fontId="25" fillId="0" borderId="14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left" vertical="center" wrapText="1"/>
    </xf>
    <xf numFmtId="49" fontId="25" fillId="27" borderId="10" xfId="0" applyNumberFormat="1" applyFont="1" applyFill="1" applyBorder="1" applyAlignment="1">
      <alignment vertical="center"/>
    </xf>
    <xf numFmtId="0" fontId="33" fillId="0" borderId="10" xfId="0" applyFont="1" applyBorder="1" applyAlignment="1">
      <alignment horizontal="justify" wrapText="1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27" borderId="12" xfId="0" applyNumberFormat="1" applyFont="1" applyFill="1" applyBorder="1" applyAlignment="1">
      <alignment vertical="center"/>
    </xf>
    <xf numFmtId="49" fontId="25" fillId="27" borderId="13" xfId="0" applyNumberFormat="1" applyFont="1" applyFill="1" applyBorder="1" applyAlignment="1">
      <alignment vertical="center"/>
    </xf>
    <xf numFmtId="49" fontId="25" fillId="27" borderId="14" xfId="0" applyNumberFormat="1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87" fontId="25" fillId="0" borderId="15" xfId="59" applyFont="1" applyBorder="1" applyAlignment="1">
      <alignment/>
    </xf>
    <xf numFmtId="0" fontId="0" fillId="0" borderId="16" xfId="0" applyFont="1" applyBorder="1" applyAlignment="1">
      <alignment/>
    </xf>
    <xf numFmtId="0" fontId="19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49" fontId="29" fillId="0" borderId="11" xfId="0" applyNumberFormat="1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187" fontId="25" fillId="0" borderId="0" xfId="59" applyFont="1" applyAlignment="1">
      <alignment/>
    </xf>
    <xf numFmtId="0" fontId="19" fillId="0" borderId="0" xfId="0" applyFont="1" applyAlignment="1">
      <alignment/>
    </xf>
    <xf numFmtId="0" fontId="20" fillId="0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19" fillId="0" borderId="12" xfId="0" applyFont="1" applyFill="1" applyBorder="1" applyAlignment="1">
      <alignment horizontal="left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7" fontId="25" fillId="0" borderId="0" xfId="59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49" fontId="27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/>
    </xf>
    <xf numFmtId="0" fontId="19" fillId="0" borderId="10" xfId="0" applyFont="1" applyBorder="1" applyAlignment="1">
      <alignment/>
    </xf>
    <xf numFmtId="0" fontId="20" fillId="28" borderId="12" xfId="0" applyFont="1" applyFill="1" applyBorder="1" applyAlignment="1">
      <alignment horizontal="left" vertical="center" wrapText="1"/>
    </xf>
    <xf numFmtId="0" fontId="0" fillId="28" borderId="13" xfId="0" applyFont="1" applyFill="1" applyBorder="1" applyAlignment="1">
      <alignment horizontal="left"/>
    </xf>
    <xf numFmtId="0" fontId="0" fillId="28" borderId="14" xfId="0" applyFont="1" applyFill="1" applyBorder="1" applyAlignment="1">
      <alignment horizontal="left"/>
    </xf>
    <xf numFmtId="0" fontId="19" fillId="25" borderId="12" xfId="0" applyFont="1" applyFill="1" applyBorder="1" applyAlignment="1">
      <alignment horizontal="center" vertical="center"/>
    </xf>
    <xf numFmtId="0" fontId="20" fillId="29" borderId="12" xfId="0" applyFont="1" applyFill="1" applyBorder="1" applyAlignment="1">
      <alignment horizontal="left" vertical="center" wrapText="1"/>
    </xf>
    <xf numFmtId="0" fontId="19" fillId="29" borderId="13" xfId="0" applyFont="1" applyFill="1" applyBorder="1" applyAlignment="1">
      <alignment horizontal="left" vertical="center"/>
    </xf>
    <xf numFmtId="0" fontId="0" fillId="29" borderId="14" xfId="0" applyFont="1" applyFill="1" applyBorder="1" applyAlignment="1">
      <alignment horizontal="left"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0" fontId="27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49" fontId="25" fillId="24" borderId="10" xfId="0" applyNumberFormat="1" applyFont="1" applyFill="1" applyBorder="1" applyAlignment="1">
      <alignment horizontal="center" vertical="top" wrapText="1"/>
    </xf>
    <xf numFmtId="0" fontId="27" fillId="2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194" fontId="20" fillId="0" borderId="12" xfId="48" applyNumberFormat="1" applyFont="1" applyBorder="1" applyAlignment="1">
      <alignment horizontal="left" wrapText="1"/>
      <protection/>
    </xf>
    <xf numFmtId="194" fontId="20" fillId="0" borderId="14" xfId="48" applyNumberFormat="1" applyFont="1" applyBorder="1" applyAlignment="1">
      <alignment horizontal="left" wrapText="1"/>
      <protection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9" fillId="0" borderId="12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horizontal="center" vertical="justify"/>
    </xf>
    <xf numFmtId="0" fontId="19" fillId="0" borderId="10" xfId="0" applyFont="1" applyFill="1" applyBorder="1" applyAlignment="1">
      <alignment horizontal="center" vertical="justify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194" fontId="20" fillId="0" borderId="17" xfId="48" applyNumberFormat="1" applyFont="1" applyBorder="1" applyAlignment="1">
      <alignment horizontal="left" vertical="center" wrapText="1"/>
      <protection/>
    </xf>
    <xf numFmtId="0" fontId="19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/>
    </xf>
    <xf numFmtId="49" fontId="27" fillId="24" borderId="10" xfId="0" applyNumberFormat="1" applyFont="1" applyFill="1" applyBorder="1" applyAlignment="1">
      <alignment horizontal="center" vertical="top" wrapText="1"/>
    </xf>
    <xf numFmtId="0" fontId="19" fillId="24" borderId="1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19" fillId="25" borderId="12" xfId="0" applyFont="1" applyFill="1" applyBorder="1" applyAlignment="1">
      <alignment horizontal="left" vertical="center"/>
    </xf>
    <xf numFmtId="0" fontId="19" fillId="25" borderId="13" xfId="0" applyFont="1" applyFill="1" applyBorder="1" applyAlignment="1">
      <alignment horizontal="left" vertical="center"/>
    </xf>
    <xf numFmtId="0" fontId="22" fillId="0" borderId="16" xfId="0" applyFont="1" applyBorder="1" applyAlignment="1">
      <alignment horizontal="center"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5" fillId="0" borderId="12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19" fillId="25" borderId="14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27" fillId="24" borderId="10" xfId="0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 quotePrefix="1">
      <alignment horizontal="left" vertical="center" wrapText="1"/>
    </xf>
    <xf numFmtId="0" fontId="0" fillId="0" borderId="10" xfId="0" applyBorder="1" applyAlignment="1">
      <alignment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49" fontId="24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view="pageBreakPreview" zoomScale="83" zoomScaleSheetLayoutView="83" workbookViewId="0" topLeftCell="A1">
      <selection activeCell="G5" sqref="G5"/>
    </sheetView>
  </sheetViews>
  <sheetFormatPr defaultColWidth="9.00390625" defaultRowHeight="12.75"/>
  <cols>
    <col min="1" max="1" width="9.75390625" style="2" customWidth="1"/>
    <col min="2" max="2" width="9.875" style="2" customWidth="1"/>
    <col min="3" max="3" width="9.375" style="2" customWidth="1"/>
    <col min="4" max="4" width="55.375" style="3" customWidth="1"/>
    <col min="5" max="5" width="52.75390625" style="4" customWidth="1"/>
    <col min="6" max="6" width="25.00390625" style="4" customWidth="1"/>
    <col min="7" max="7" width="19.125" style="8" customWidth="1"/>
    <col min="8" max="8" width="20.625" style="5" customWidth="1"/>
    <col min="9" max="9" width="14.25390625" style="5" customWidth="1"/>
    <col min="10" max="10" width="16.875" style="8" customWidth="1"/>
    <col min="11" max="11" width="13.125" style="4" customWidth="1"/>
    <col min="12" max="12" width="14.125" style="4" customWidth="1"/>
    <col min="13" max="16384" width="9.125" style="4" customWidth="1"/>
  </cols>
  <sheetData>
    <row r="1" spans="7:10" ht="15">
      <c r="G1" s="210" t="s">
        <v>8</v>
      </c>
      <c r="H1" s="211"/>
      <c r="I1" s="211"/>
      <c r="J1" s="211"/>
    </row>
    <row r="2" spans="7:11" ht="14.25" customHeight="1">
      <c r="G2" s="212" t="s">
        <v>115</v>
      </c>
      <c r="H2" s="211"/>
      <c r="I2" s="211"/>
      <c r="J2" s="211"/>
      <c r="K2" s="6"/>
    </row>
    <row r="3" spans="7:11" ht="15" customHeight="1">
      <c r="G3" s="212" t="s">
        <v>116</v>
      </c>
      <c r="H3" s="211"/>
      <c r="I3" s="211"/>
      <c r="J3" s="211"/>
      <c r="K3" s="7"/>
    </row>
    <row r="4" spans="7:11" ht="15">
      <c r="G4" s="213" t="s">
        <v>275</v>
      </c>
      <c r="H4" s="214"/>
      <c r="I4" s="214"/>
      <c r="J4" s="214"/>
      <c r="K4" s="6"/>
    </row>
    <row r="5" ht="15">
      <c r="H5" s="9"/>
    </row>
    <row r="6" ht="20.25">
      <c r="C6" s="10" t="s">
        <v>112</v>
      </c>
    </row>
    <row r="7" spans="1:10" ht="15">
      <c r="A7" s="11"/>
      <c r="J7" s="8" t="s">
        <v>0</v>
      </c>
    </row>
    <row r="8" spans="1:10" ht="67.5" customHeight="1">
      <c r="A8" s="206" t="s">
        <v>243</v>
      </c>
      <c r="B8" s="206" t="s">
        <v>244</v>
      </c>
      <c r="C8" s="206" t="s">
        <v>245</v>
      </c>
      <c r="D8" s="207" t="s">
        <v>246</v>
      </c>
      <c r="E8" s="209" t="s">
        <v>9</v>
      </c>
      <c r="F8" s="209" t="s">
        <v>10</v>
      </c>
      <c r="G8" s="215" t="s">
        <v>1</v>
      </c>
      <c r="H8" s="209" t="s">
        <v>2</v>
      </c>
      <c r="I8" s="209" t="s">
        <v>3</v>
      </c>
      <c r="J8" s="204"/>
    </row>
    <row r="9" spans="1:10" ht="36.75" customHeight="1">
      <c r="A9" s="206"/>
      <c r="B9" s="206"/>
      <c r="C9" s="206"/>
      <c r="D9" s="208"/>
      <c r="E9" s="204"/>
      <c r="F9" s="204"/>
      <c r="G9" s="216"/>
      <c r="H9" s="204"/>
      <c r="I9" s="12" t="s">
        <v>4</v>
      </c>
      <c r="J9" s="14" t="s">
        <v>5</v>
      </c>
    </row>
    <row r="10" spans="1:10" ht="15.75">
      <c r="A10" s="15">
        <v>1</v>
      </c>
      <c r="B10" s="15">
        <v>2</v>
      </c>
      <c r="C10" s="15">
        <v>3</v>
      </c>
      <c r="D10" s="16">
        <v>4</v>
      </c>
      <c r="E10" s="17">
        <v>5</v>
      </c>
      <c r="F10" s="17">
        <v>6</v>
      </c>
      <c r="G10" s="13">
        <v>7</v>
      </c>
      <c r="H10" s="12">
        <v>8</v>
      </c>
      <c r="I10" s="12">
        <v>9</v>
      </c>
      <c r="J10" s="13">
        <v>10</v>
      </c>
    </row>
    <row r="11" spans="1:10" ht="15.75" customHeight="1">
      <c r="A11" s="159" t="s">
        <v>11</v>
      </c>
      <c r="B11" s="159"/>
      <c r="C11" s="159"/>
      <c r="D11" s="160" t="s">
        <v>12</v>
      </c>
      <c r="E11" s="160"/>
      <c r="F11" s="161"/>
      <c r="G11" s="18">
        <f>H11+I11</f>
        <v>4402408</v>
      </c>
      <c r="H11" s="19">
        <f>H16+H17+H18+H19+H20+H21+H22+H23+H24+H25+H26+H27</f>
        <v>3220472</v>
      </c>
      <c r="I11" s="19">
        <f>I16+I17+I18+I19+I20+I21+I22+I23+I24+I25+I26+I27</f>
        <v>1181936</v>
      </c>
      <c r="J11" s="19">
        <f>J16+J17+J18+J19+J20+J21+J22+J23+J24+J25+J26+J27</f>
        <v>1181936</v>
      </c>
    </row>
    <row r="12" spans="1:10" ht="60">
      <c r="A12" s="200" t="s">
        <v>18</v>
      </c>
      <c r="B12" s="203" t="s">
        <v>19</v>
      </c>
      <c r="C12" s="203" t="s">
        <v>20</v>
      </c>
      <c r="D12" s="205" t="s">
        <v>17</v>
      </c>
      <c r="E12" s="21" t="s">
        <v>250</v>
      </c>
      <c r="F12" s="22" t="s">
        <v>21</v>
      </c>
      <c r="G12" s="23">
        <f>H12+I12</f>
        <v>90000</v>
      </c>
      <c r="H12" s="100">
        <f>110000-20000</f>
        <v>90000</v>
      </c>
      <c r="I12" s="24"/>
      <c r="J12" s="23"/>
    </row>
    <row r="13" spans="1:10" ht="93.75" customHeight="1">
      <c r="A13" s="201"/>
      <c r="B13" s="203"/>
      <c r="C13" s="203"/>
      <c r="D13" s="205"/>
      <c r="E13" s="21" t="s">
        <v>219</v>
      </c>
      <c r="F13" s="22" t="s">
        <v>220</v>
      </c>
      <c r="G13" s="23">
        <f>H13+I13</f>
        <v>15000</v>
      </c>
      <c r="H13" s="24"/>
      <c r="I13" s="24">
        <v>15000</v>
      </c>
      <c r="J13" s="23">
        <v>15000</v>
      </c>
    </row>
    <row r="14" spans="1:10" ht="45">
      <c r="A14" s="201"/>
      <c r="B14" s="203"/>
      <c r="C14" s="204"/>
      <c r="D14" s="205"/>
      <c r="E14" s="21" t="s">
        <v>133</v>
      </c>
      <c r="F14" s="25" t="s">
        <v>222</v>
      </c>
      <c r="G14" s="23">
        <f aca="true" t="shared" si="0" ref="G14:G27">H14+I14</f>
        <v>112810</v>
      </c>
      <c r="H14" s="24">
        <f>40000+72810</f>
        <v>112810</v>
      </c>
      <c r="I14" s="24"/>
      <c r="J14" s="23"/>
    </row>
    <row r="15" spans="1:10" ht="45">
      <c r="A15" s="202"/>
      <c r="B15" s="203"/>
      <c r="C15" s="204"/>
      <c r="D15" s="205"/>
      <c r="E15" s="21" t="s">
        <v>134</v>
      </c>
      <c r="F15" s="25" t="s">
        <v>221</v>
      </c>
      <c r="G15" s="23">
        <f t="shared" si="0"/>
        <v>2162293</v>
      </c>
      <c r="H15" s="24">
        <f>200000+159100+315000+28481+113000+119349+60427</f>
        <v>995357</v>
      </c>
      <c r="I15" s="24">
        <f>199900+194671+137541+117000+120651+397173</f>
        <v>1166936</v>
      </c>
      <c r="J15" s="23">
        <f>I15</f>
        <v>1166936</v>
      </c>
    </row>
    <row r="16" spans="1:10" s="29" customFormat="1" ht="15.75">
      <c r="A16" s="124" t="s">
        <v>107</v>
      </c>
      <c r="B16" s="189"/>
      <c r="C16" s="189"/>
      <c r="D16" s="190"/>
      <c r="E16" s="27"/>
      <c r="F16" s="28"/>
      <c r="G16" s="18">
        <f>G12+G13+G14+G15</f>
        <v>2380103</v>
      </c>
      <c r="H16" s="18">
        <f>H12+H13+H14+H15</f>
        <v>1198167</v>
      </c>
      <c r="I16" s="18">
        <f>I12+I13+I14+I15</f>
        <v>1181936</v>
      </c>
      <c r="J16" s="18">
        <f>J12+J13+J14+J15</f>
        <v>1181936</v>
      </c>
    </row>
    <row r="17" spans="1:10" s="29" customFormat="1" ht="30">
      <c r="A17" s="26"/>
      <c r="B17" s="162" t="s">
        <v>171</v>
      </c>
      <c r="C17" s="162" t="s">
        <v>172</v>
      </c>
      <c r="D17" s="198" t="s">
        <v>173</v>
      </c>
      <c r="E17" s="104" t="s">
        <v>251</v>
      </c>
      <c r="F17" s="103" t="s">
        <v>256</v>
      </c>
      <c r="G17" s="23">
        <f t="shared" si="0"/>
        <v>29500</v>
      </c>
      <c r="H17" s="23">
        <v>29500</v>
      </c>
      <c r="I17" s="18"/>
      <c r="J17" s="18"/>
    </row>
    <row r="18" spans="1:10" ht="19.5" customHeight="1">
      <c r="A18" s="101" t="s">
        <v>170</v>
      </c>
      <c r="B18" s="199"/>
      <c r="C18" s="199"/>
      <c r="D18" s="199"/>
      <c r="E18" s="191" t="s">
        <v>174</v>
      </c>
      <c r="F18" s="185" t="s">
        <v>175</v>
      </c>
      <c r="G18" s="23">
        <f t="shared" si="0"/>
        <v>95500</v>
      </c>
      <c r="H18" s="23">
        <f>35000+50000+10500</f>
        <v>95500</v>
      </c>
      <c r="I18" s="24"/>
      <c r="J18" s="23"/>
    </row>
    <row r="19" spans="1:10" ht="19.5" customHeight="1">
      <c r="A19" s="32" t="s">
        <v>177</v>
      </c>
      <c r="B19" s="30" t="s">
        <v>178</v>
      </c>
      <c r="C19" s="30" t="s">
        <v>179</v>
      </c>
      <c r="D19" s="33" t="s">
        <v>180</v>
      </c>
      <c r="E19" s="192"/>
      <c r="F19" s="193"/>
      <c r="G19" s="23">
        <f t="shared" si="0"/>
        <v>75000</v>
      </c>
      <c r="H19" s="23">
        <v>75000</v>
      </c>
      <c r="I19" s="24"/>
      <c r="J19" s="23"/>
    </row>
    <row r="20" spans="1:10" ht="30">
      <c r="A20" s="34" t="s">
        <v>152</v>
      </c>
      <c r="B20" s="34" t="s">
        <v>153</v>
      </c>
      <c r="C20" s="34" t="s">
        <v>154</v>
      </c>
      <c r="D20" s="35" t="s">
        <v>155</v>
      </c>
      <c r="E20" s="36" t="s">
        <v>156</v>
      </c>
      <c r="F20" s="25" t="s">
        <v>157</v>
      </c>
      <c r="G20" s="23">
        <f t="shared" si="0"/>
        <v>420100</v>
      </c>
      <c r="H20" s="24">
        <f>380100+40000</f>
        <v>420100</v>
      </c>
      <c r="I20" s="24"/>
      <c r="J20" s="23"/>
    </row>
    <row r="21" spans="1:10" ht="30">
      <c r="A21" s="30" t="s">
        <v>165</v>
      </c>
      <c r="B21" s="30" t="s">
        <v>166</v>
      </c>
      <c r="C21" s="30" t="s">
        <v>154</v>
      </c>
      <c r="D21" s="37" t="s">
        <v>167</v>
      </c>
      <c r="E21" s="33" t="s">
        <v>168</v>
      </c>
      <c r="F21" s="25" t="s">
        <v>169</v>
      </c>
      <c r="G21" s="23">
        <f t="shared" si="0"/>
        <v>90300</v>
      </c>
      <c r="H21" s="24">
        <v>90300</v>
      </c>
      <c r="I21" s="24"/>
      <c r="J21" s="23"/>
    </row>
    <row r="22" spans="1:10" ht="30" customHeight="1">
      <c r="A22" s="15" t="s">
        <v>30</v>
      </c>
      <c r="B22" s="15" t="s">
        <v>31</v>
      </c>
      <c r="C22" s="15" t="s">
        <v>32</v>
      </c>
      <c r="D22" s="31" t="s">
        <v>25</v>
      </c>
      <c r="E22" s="194" t="s">
        <v>13</v>
      </c>
      <c r="F22" s="195" t="s">
        <v>223</v>
      </c>
      <c r="G22" s="23">
        <f t="shared" si="0"/>
        <v>120000</v>
      </c>
      <c r="H22" s="24">
        <v>120000</v>
      </c>
      <c r="I22" s="24"/>
      <c r="J22" s="23"/>
    </row>
    <row r="23" spans="1:10" ht="60" customHeight="1">
      <c r="A23" s="15" t="s">
        <v>33</v>
      </c>
      <c r="B23" s="15" t="s">
        <v>34</v>
      </c>
      <c r="C23" s="15" t="s">
        <v>32</v>
      </c>
      <c r="D23" s="37" t="s">
        <v>26</v>
      </c>
      <c r="E23" s="194"/>
      <c r="F23" s="195"/>
      <c r="G23" s="23">
        <f t="shared" si="0"/>
        <v>400000</v>
      </c>
      <c r="H23" s="24">
        <f>400000</f>
        <v>400000</v>
      </c>
      <c r="I23" s="24"/>
      <c r="J23" s="23"/>
    </row>
    <row r="24" spans="1:10" ht="45" customHeight="1">
      <c r="A24" s="15" t="s">
        <v>35</v>
      </c>
      <c r="B24" s="15" t="s">
        <v>36</v>
      </c>
      <c r="C24" s="15" t="s">
        <v>37</v>
      </c>
      <c r="D24" s="37" t="s">
        <v>27</v>
      </c>
      <c r="E24" s="33" t="s">
        <v>14</v>
      </c>
      <c r="F24" s="22" t="s">
        <v>22</v>
      </c>
      <c r="G24" s="23">
        <f t="shared" si="0"/>
        <v>400000</v>
      </c>
      <c r="H24" s="23">
        <f>400000</f>
        <v>400000</v>
      </c>
      <c r="I24" s="24"/>
      <c r="J24" s="23">
        <f>I24</f>
        <v>0</v>
      </c>
    </row>
    <row r="25" spans="1:10" ht="46.5" customHeight="1">
      <c r="A25" s="15" t="s">
        <v>38</v>
      </c>
      <c r="B25" s="15" t="s">
        <v>39</v>
      </c>
      <c r="C25" s="15" t="s">
        <v>37</v>
      </c>
      <c r="D25" s="20" t="s">
        <v>28</v>
      </c>
      <c r="E25" s="33" t="s">
        <v>15</v>
      </c>
      <c r="F25" s="22" t="s">
        <v>23</v>
      </c>
      <c r="G25" s="23">
        <f t="shared" si="0"/>
        <v>169000</v>
      </c>
      <c r="H25" s="23">
        <v>169000</v>
      </c>
      <c r="I25" s="24"/>
      <c r="J25" s="23"/>
    </row>
    <row r="26" spans="1:10" ht="60">
      <c r="A26" s="15" t="s">
        <v>40</v>
      </c>
      <c r="B26" s="15" t="s">
        <v>41</v>
      </c>
      <c r="C26" s="15" t="s">
        <v>42</v>
      </c>
      <c r="D26" s="38" t="s">
        <v>29</v>
      </c>
      <c r="E26" s="33" t="s">
        <v>16</v>
      </c>
      <c r="F26" s="22" t="s">
        <v>24</v>
      </c>
      <c r="G26" s="23">
        <f t="shared" si="0"/>
        <v>122905</v>
      </c>
      <c r="H26" s="23">
        <f>442000-319095</f>
        <v>122905</v>
      </c>
      <c r="I26" s="24"/>
      <c r="J26" s="23"/>
    </row>
    <row r="27" spans="1:10" ht="90">
      <c r="A27" s="39" t="s">
        <v>204</v>
      </c>
      <c r="B27" s="34" t="s">
        <v>203</v>
      </c>
      <c r="C27" s="34" t="s">
        <v>205</v>
      </c>
      <c r="D27" s="40" t="s">
        <v>206</v>
      </c>
      <c r="E27" s="41" t="s">
        <v>208</v>
      </c>
      <c r="F27" s="25" t="s">
        <v>207</v>
      </c>
      <c r="G27" s="23">
        <f t="shared" si="0"/>
        <v>100000</v>
      </c>
      <c r="H27" s="23">
        <f>80000+20000</f>
        <v>100000</v>
      </c>
      <c r="I27" s="24"/>
      <c r="J27" s="23"/>
    </row>
    <row r="28" spans="1:10" ht="15.75">
      <c r="A28" s="159" t="s">
        <v>44</v>
      </c>
      <c r="B28" s="159"/>
      <c r="C28" s="159"/>
      <c r="D28" s="196" t="s">
        <v>43</v>
      </c>
      <c r="E28" s="196"/>
      <c r="F28" s="197"/>
      <c r="G28" s="18">
        <f>H28+I28</f>
        <v>69605828.49000001</v>
      </c>
      <c r="H28" s="19">
        <f>H38</f>
        <v>68086246.49000001</v>
      </c>
      <c r="I28" s="19">
        <f>I38</f>
        <v>1519582</v>
      </c>
      <c r="J28" s="18">
        <f>J38</f>
        <v>1519582</v>
      </c>
    </row>
    <row r="29" spans="1:10" s="44" customFormat="1" ht="47.25">
      <c r="A29" s="39" t="s">
        <v>239</v>
      </c>
      <c r="B29" s="34" t="s">
        <v>136</v>
      </c>
      <c r="C29" s="34" t="s">
        <v>137</v>
      </c>
      <c r="D29" s="42" t="s">
        <v>138</v>
      </c>
      <c r="E29" s="188" t="s">
        <v>71</v>
      </c>
      <c r="F29" s="43"/>
      <c r="G29" s="23">
        <f aca="true" t="shared" si="1" ref="G29:G37">H29+I29</f>
        <v>6200</v>
      </c>
      <c r="H29" s="18"/>
      <c r="I29" s="23">
        <v>6200</v>
      </c>
      <c r="J29" s="23">
        <f>I29</f>
        <v>6200</v>
      </c>
    </row>
    <row r="30" spans="1:12" ht="15.75" customHeight="1">
      <c r="A30" s="30" t="s">
        <v>45</v>
      </c>
      <c r="B30" s="30" t="s">
        <v>52</v>
      </c>
      <c r="C30" s="30" t="s">
        <v>59</v>
      </c>
      <c r="D30" s="36" t="s">
        <v>64</v>
      </c>
      <c r="E30" s="134"/>
      <c r="F30" s="133" t="s">
        <v>224</v>
      </c>
      <c r="G30" s="23">
        <f t="shared" si="1"/>
        <v>15779862.62</v>
      </c>
      <c r="H30" s="45">
        <f>14237000+1464000-72185.38-370000+29200+21060+144300+27489-(27489+3000)+318000</f>
        <v>15768374.62</v>
      </c>
      <c r="I30" s="46">
        <f>11488</f>
        <v>11488</v>
      </c>
      <c r="J30" s="23">
        <f>I30</f>
        <v>11488</v>
      </c>
      <c r="L30" s="47"/>
    </row>
    <row r="31" spans="1:12" ht="60" customHeight="1">
      <c r="A31" s="30" t="s">
        <v>46</v>
      </c>
      <c r="B31" s="30" t="s">
        <v>53</v>
      </c>
      <c r="C31" s="30" t="s">
        <v>60</v>
      </c>
      <c r="D31" s="36" t="s">
        <v>65</v>
      </c>
      <c r="E31" s="134"/>
      <c r="F31" s="181"/>
      <c r="G31" s="23">
        <f t="shared" si="1"/>
        <v>48558678.870000005</v>
      </c>
      <c r="H31" s="45">
        <f>13883000+31301300+2504885-1464000+199800-372511.76-233077.37-17000+430000+61+84672+42000+200000+210000-147101-(172899+37000)+91089+604000</f>
        <v>47107217.870000005</v>
      </c>
      <c r="I31" s="46">
        <f>1451461</f>
        <v>1451461</v>
      </c>
      <c r="J31" s="23">
        <f>I31</f>
        <v>1451461</v>
      </c>
      <c r="L31" s="48"/>
    </row>
    <row r="32" spans="1:10" ht="30" customHeight="1">
      <c r="A32" s="30" t="s">
        <v>47</v>
      </c>
      <c r="B32" s="30" t="s">
        <v>54</v>
      </c>
      <c r="C32" s="30" t="s">
        <v>61</v>
      </c>
      <c r="D32" s="36" t="s">
        <v>66</v>
      </c>
      <c r="E32" s="134"/>
      <c r="F32" s="181"/>
      <c r="G32" s="23">
        <f t="shared" si="1"/>
        <v>852000</v>
      </c>
      <c r="H32" s="45">
        <f>842000+10000</f>
        <v>852000</v>
      </c>
      <c r="I32" s="23"/>
      <c r="J32" s="23"/>
    </row>
    <row r="33" spans="1:10" ht="15.75" customHeight="1">
      <c r="A33" s="30" t="s">
        <v>48</v>
      </c>
      <c r="B33" s="30" t="s">
        <v>55</v>
      </c>
      <c r="C33" s="30" t="s">
        <v>62</v>
      </c>
      <c r="D33" s="37" t="s">
        <v>67</v>
      </c>
      <c r="E33" s="134"/>
      <c r="F33" s="181"/>
      <c r="G33" s="23">
        <f t="shared" si="1"/>
        <v>607000</v>
      </c>
      <c r="H33" s="23">
        <v>607000</v>
      </c>
      <c r="I33" s="23"/>
      <c r="J33" s="23"/>
    </row>
    <row r="34" spans="1:10" ht="15" customHeight="1">
      <c r="A34" s="30" t="s">
        <v>49</v>
      </c>
      <c r="B34" s="30" t="s">
        <v>56</v>
      </c>
      <c r="C34" s="30" t="s">
        <v>62</v>
      </c>
      <c r="D34" s="36" t="s">
        <v>68</v>
      </c>
      <c r="E34" s="134"/>
      <c r="F34" s="181"/>
      <c r="G34" s="23">
        <f t="shared" si="1"/>
        <v>1417048</v>
      </c>
      <c r="H34" s="45">
        <f>1192000+124810+1218439-1218439+30605+19200</f>
        <v>1366615</v>
      </c>
      <c r="I34" s="45">
        <v>50433</v>
      </c>
      <c r="J34" s="23">
        <f>I34</f>
        <v>50433</v>
      </c>
    </row>
    <row r="35" spans="1:10" ht="15.75">
      <c r="A35" s="30" t="s">
        <v>50</v>
      </c>
      <c r="B35" s="30" t="s">
        <v>57</v>
      </c>
      <c r="C35" s="30" t="s">
        <v>62</v>
      </c>
      <c r="D35" s="49" t="s">
        <v>69</v>
      </c>
      <c r="E35" s="134"/>
      <c r="F35" s="181"/>
      <c r="G35" s="23">
        <f t="shared" si="1"/>
        <v>9050</v>
      </c>
      <c r="H35" s="23">
        <v>9050</v>
      </c>
      <c r="I35" s="24"/>
      <c r="J35" s="23"/>
    </row>
    <row r="36" spans="1:10" ht="15.75">
      <c r="A36" s="30" t="s">
        <v>193</v>
      </c>
      <c r="B36" s="30" t="s">
        <v>194</v>
      </c>
      <c r="C36" s="30"/>
      <c r="D36" s="49" t="s">
        <v>195</v>
      </c>
      <c r="E36" s="134"/>
      <c r="F36" s="181"/>
      <c r="G36" s="23">
        <f t="shared" si="1"/>
        <v>1218439</v>
      </c>
      <c r="H36" s="23">
        <v>1218439</v>
      </c>
      <c r="I36" s="24"/>
      <c r="J36" s="23"/>
    </row>
    <row r="37" spans="1:10" ht="30" customHeight="1">
      <c r="A37" s="30" t="s">
        <v>51</v>
      </c>
      <c r="B37" s="30" t="s">
        <v>58</v>
      </c>
      <c r="C37" s="30" t="s">
        <v>63</v>
      </c>
      <c r="D37" s="36" t="s">
        <v>70</v>
      </c>
      <c r="E37" s="134"/>
      <c r="F37" s="181"/>
      <c r="G37" s="23">
        <f t="shared" si="1"/>
        <v>1157550</v>
      </c>
      <c r="H37" s="45">
        <f>1100000+17000+980+20000-(18570)+5800+32340</f>
        <v>1157550</v>
      </c>
      <c r="I37" s="24"/>
      <c r="J37" s="23"/>
    </row>
    <row r="38" spans="1:10" ht="15.75" customHeight="1">
      <c r="A38" s="124" t="s">
        <v>107</v>
      </c>
      <c r="B38" s="138"/>
      <c r="C38" s="138"/>
      <c r="D38" s="139"/>
      <c r="E38" s="135"/>
      <c r="F38" s="123"/>
      <c r="G38" s="18">
        <f>H38+I38</f>
        <v>69605828.49000001</v>
      </c>
      <c r="H38" s="50">
        <f>H29+H30+H31+H32+H33+H34+H35+H36+H37</f>
        <v>68086246.49000001</v>
      </c>
      <c r="I38" s="50">
        <f>I29+I30+I31+I32+I33+I34+I35+I36+I37</f>
        <v>1519582</v>
      </c>
      <c r="J38" s="18">
        <f>J29+J30+J31+J32+J33+J34+J35+J36+J37</f>
        <v>1519582</v>
      </c>
    </row>
    <row r="39" spans="1:10" ht="19.5" customHeight="1">
      <c r="A39" s="182" t="s">
        <v>72</v>
      </c>
      <c r="B39" s="182"/>
      <c r="C39" s="182"/>
      <c r="D39" s="160" t="s">
        <v>73</v>
      </c>
      <c r="E39" s="183"/>
      <c r="F39" s="145"/>
      <c r="G39" s="19">
        <f>G40+G44+G45+G49+G50</f>
        <v>2312606</v>
      </c>
      <c r="H39" s="19">
        <f>H40+H44+H45+H49+H50</f>
        <v>1884985</v>
      </c>
      <c r="I39" s="19">
        <f>I40+I44+I45+I49+I50</f>
        <v>427621</v>
      </c>
      <c r="J39" s="19">
        <f>J40+J44+J45+J49+J50</f>
        <v>427621</v>
      </c>
    </row>
    <row r="40" spans="1:10" s="57" customFormat="1" ht="30.75" customHeight="1">
      <c r="A40" s="51" t="s">
        <v>117</v>
      </c>
      <c r="B40" s="30" t="s">
        <v>118</v>
      </c>
      <c r="C40" s="30" t="s">
        <v>119</v>
      </c>
      <c r="D40" s="52" t="s">
        <v>120</v>
      </c>
      <c r="E40" s="33" t="s">
        <v>121</v>
      </c>
      <c r="F40" s="25" t="s">
        <v>122</v>
      </c>
      <c r="G40" s="53">
        <f aca="true" t="shared" si="2" ref="G40:G55">H40+I40</f>
        <v>540000</v>
      </c>
      <c r="H40" s="54">
        <f>490000+50000</f>
        <v>540000</v>
      </c>
      <c r="I40" s="55"/>
      <c r="J40" s="56"/>
    </row>
    <row r="41" spans="1:10" s="57" customFormat="1" ht="29.25" customHeight="1">
      <c r="A41" s="32" t="s">
        <v>124</v>
      </c>
      <c r="B41" s="30" t="s">
        <v>125</v>
      </c>
      <c r="C41" s="30" t="s">
        <v>78</v>
      </c>
      <c r="D41" s="37" t="s">
        <v>126</v>
      </c>
      <c r="E41" s="130" t="s">
        <v>197</v>
      </c>
      <c r="F41" s="185" t="s">
        <v>123</v>
      </c>
      <c r="G41" s="53">
        <f t="shared" si="2"/>
        <v>23985</v>
      </c>
      <c r="H41" s="54">
        <f>20000+3985</f>
        <v>23985</v>
      </c>
      <c r="I41" s="55"/>
      <c r="J41" s="56"/>
    </row>
    <row r="42" spans="1:10" s="57" customFormat="1" ht="30" customHeight="1">
      <c r="A42" s="32" t="s">
        <v>127</v>
      </c>
      <c r="B42" s="30" t="s">
        <v>128</v>
      </c>
      <c r="C42" s="30" t="s">
        <v>119</v>
      </c>
      <c r="D42" s="36" t="s">
        <v>129</v>
      </c>
      <c r="E42" s="184"/>
      <c r="F42" s="186"/>
      <c r="G42" s="53">
        <f t="shared" si="2"/>
        <v>150000</v>
      </c>
      <c r="H42" s="54">
        <f>100000+50000</f>
        <v>150000</v>
      </c>
      <c r="I42" s="55"/>
      <c r="J42" s="56"/>
    </row>
    <row r="43" spans="1:10" s="57" customFormat="1" ht="30" customHeight="1">
      <c r="A43" s="32" t="s">
        <v>130</v>
      </c>
      <c r="B43" s="30" t="s">
        <v>131</v>
      </c>
      <c r="C43" s="30" t="s">
        <v>119</v>
      </c>
      <c r="D43" s="36" t="s">
        <v>132</v>
      </c>
      <c r="E43" s="184"/>
      <c r="F43" s="186"/>
      <c r="G43" s="53">
        <f t="shared" si="2"/>
        <v>325000</v>
      </c>
      <c r="H43" s="54">
        <f>200000+125000</f>
        <v>325000</v>
      </c>
      <c r="I43" s="55"/>
      <c r="J43" s="56"/>
    </row>
    <row r="44" spans="1:10" s="58" customFormat="1" ht="15" customHeight="1">
      <c r="A44" s="124" t="s">
        <v>107</v>
      </c>
      <c r="B44" s="127"/>
      <c r="C44" s="127"/>
      <c r="D44" s="187"/>
      <c r="E44" s="135"/>
      <c r="F44" s="123"/>
      <c r="G44" s="56">
        <f>H44+I44</f>
        <v>498985</v>
      </c>
      <c r="H44" s="55">
        <f>H41+H42+H43</f>
        <v>498985</v>
      </c>
      <c r="I44" s="55">
        <f>I41+I42+I43</f>
        <v>0</v>
      </c>
      <c r="J44" s="56">
        <f>J41+J42+J43</f>
        <v>0</v>
      </c>
    </row>
    <row r="45" spans="1:10" ht="15.75">
      <c r="A45" s="173" t="s">
        <v>74</v>
      </c>
      <c r="B45" s="173" t="s">
        <v>76</v>
      </c>
      <c r="C45" s="173" t="s">
        <v>54</v>
      </c>
      <c r="D45" s="164" t="s">
        <v>79</v>
      </c>
      <c r="E45" s="175"/>
      <c r="F45" s="59"/>
      <c r="G45" s="18">
        <f>H45+I45</f>
        <v>789000</v>
      </c>
      <c r="H45" s="50">
        <f>H46+H47+H48</f>
        <v>789000</v>
      </c>
      <c r="I45" s="50">
        <f>I46+I47+I48</f>
        <v>0</v>
      </c>
      <c r="J45" s="18">
        <f>J46+J47+J48</f>
        <v>0</v>
      </c>
    </row>
    <row r="46" spans="1:10" ht="30">
      <c r="A46" s="174"/>
      <c r="B46" s="174"/>
      <c r="C46" s="174"/>
      <c r="D46" s="33" t="s">
        <v>80</v>
      </c>
      <c r="E46" s="60" t="s">
        <v>81</v>
      </c>
      <c r="F46" s="22" t="s">
        <v>87</v>
      </c>
      <c r="G46" s="23">
        <f t="shared" si="2"/>
        <v>246500</v>
      </c>
      <c r="H46" s="24">
        <f>200100+46400</f>
        <v>246500</v>
      </c>
      <c r="I46" s="24"/>
      <c r="J46" s="23"/>
    </row>
    <row r="47" spans="1:10" ht="45" customHeight="1">
      <c r="A47" s="174"/>
      <c r="B47" s="174"/>
      <c r="C47" s="174"/>
      <c r="D47" s="61" t="s">
        <v>82</v>
      </c>
      <c r="E47" s="21" t="s">
        <v>83</v>
      </c>
      <c r="F47" s="22" t="s">
        <v>88</v>
      </c>
      <c r="G47" s="23">
        <f t="shared" si="2"/>
        <v>100000</v>
      </c>
      <c r="H47" s="24">
        <f>60100+4000+35900</f>
        <v>100000</v>
      </c>
      <c r="I47" s="24"/>
      <c r="J47" s="23"/>
    </row>
    <row r="48" spans="1:10" ht="19.5" customHeight="1">
      <c r="A48" s="174"/>
      <c r="B48" s="174"/>
      <c r="C48" s="174"/>
      <c r="D48" s="61" t="s">
        <v>84</v>
      </c>
      <c r="E48" s="178" t="s">
        <v>85</v>
      </c>
      <c r="F48" s="176" t="s">
        <v>164</v>
      </c>
      <c r="G48" s="23">
        <f t="shared" si="2"/>
        <v>442500</v>
      </c>
      <c r="H48" s="24">
        <f>339800+50000+50000-4000+6700</f>
        <v>442500</v>
      </c>
      <c r="I48" s="24"/>
      <c r="J48" s="23"/>
    </row>
    <row r="49" spans="1:10" ht="47.25" customHeight="1">
      <c r="A49" s="30" t="s">
        <v>75</v>
      </c>
      <c r="B49" s="30" t="s">
        <v>77</v>
      </c>
      <c r="C49" s="30" t="s">
        <v>78</v>
      </c>
      <c r="D49" s="36" t="s">
        <v>86</v>
      </c>
      <c r="E49" s="179"/>
      <c r="F49" s="177"/>
      <c r="G49" s="23">
        <f t="shared" si="2"/>
        <v>117767</v>
      </c>
      <c r="H49" s="24">
        <f>50000+7000</f>
        <v>57000</v>
      </c>
      <c r="I49" s="24">
        <f>44000+18000-1233</f>
        <v>60767</v>
      </c>
      <c r="J49" s="23">
        <f>I49</f>
        <v>60767</v>
      </c>
    </row>
    <row r="50" spans="1:10" ht="81" customHeight="1">
      <c r="A50" s="39" t="s">
        <v>252</v>
      </c>
      <c r="B50" s="34" t="s">
        <v>253</v>
      </c>
      <c r="C50" s="34" t="s">
        <v>254</v>
      </c>
      <c r="D50" s="65" t="s">
        <v>255</v>
      </c>
      <c r="E50" s="180"/>
      <c r="F50" s="102"/>
      <c r="G50" s="23">
        <f t="shared" si="2"/>
        <v>366854</v>
      </c>
      <c r="H50" s="24"/>
      <c r="I50" s="24">
        <v>366854</v>
      </c>
      <c r="J50" s="23">
        <f>I50</f>
        <v>366854</v>
      </c>
    </row>
    <row r="51" spans="1:10" s="29" customFormat="1" ht="21" customHeight="1">
      <c r="A51" s="63">
        <v>10</v>
      </c>
      <c r="B51" s="64"/>
      <c r="C51" s="64"/>
      <c r="D51" s="156" t="s">
        <v>198</v>
      </c>
      <c r="E51" s="157"/>
      <c r="F51" s="158"/>
      <c r="G51" s="18">
        <f>G55+G54+G53+G52</f>
        <v>709518</v>
      </c>
      <c r="H51" s="18">
        <f>H55+H54+H53+H52</f>
        <v>675244</v>
      </c>
      <c r="I51" s="18">
        <f>I55+I54+I53+I52</f>
        <v>34274</v>
      </c>
      <c r="J51" s="18">
        <f>J55+J54+J53+J52</f>
        <v>34274</v>
      </c>
    </row>
    <row r="52" spans="1:10" s="3" customFormat="1" ht="30.75" customHeight="1">
      <c r="A52" s="39" t="s">
        <v>214</v>
      </c>
      <c r="B52" s="34" t="s">
        <v>211</v>
      </c>
      <c r="C52" s="34" t="s">
        <v>61</v>
      </c>
      <c r="D52" s="65" t="s">
        <v>215</v>
      </c>
      <c r="E52" s="168" t="s">
        <v>212</v>
      </c>
      <c r="F52" s="171" t="s">
        <v>235</v>
      </c>
      <c r="G52" s="23">
        <f>H52+I52</f>
        <v>49518</v>
      </c>
      <c r="H52" s="66">
        <v>20244</v>
      </c>
      <c r="I52" s="66">
        <f>30000-726</f>
        <v>29274</v>
      </c>
      <c r="J52" s="53">
        <f>I52</f>
        <v>29274</v>
      </c>
    </row>
    <row r="53" spans="1:10" s="3" customFormat="1" ht="19.5" customHeight="1">
      <c r="A53" s="39" t="s">
        <v>216</v>
      </c>
      <c r="B53" s="34" t="s">
        <v>213</v>
      </c>
      <c r="C53" s="34" t="s">
        <v>217</v>
      </c>
      <c r="D53" s="65" t="s">
        <v>218</v>
      </c>
      <c r="E53" s="169"/>
      <c r="F53" s="172"/>
      <c r="G53" s="23">
        <f>H53+I53</f>
        <v>5000</v>
      </c>
      <c r="H53" s="66">
        <v>0</v>
      </c>
      <c r="I53" s="66">
        <v>5000</v>
      </c>
      <c r="J53" s="53">
        <f>I53</f>
        <v>5000</v>
      </c>
    </row>
    <row r="54" spans="1:10" s="3" customFormat="1" ht="30" customHeight="1">
      <c r="A54" s="39" t="s">
        <v>144</v>
      </c>
      <c r="B54" s="34" t="s">
        <v>145</v>
      </c>
      <c r="C54" s="34" t="s">
        <v>146</v>
      </c>
      <c r="D54" s="65" t="s">
        <v>147</v>
      </c>
      <c r="E54" s="170"/>
      <c r="F54" s="137"/>
      <c r="G54" s="23">
        <f>H54+I54</f>
        <v>280000</v>
      </c>
      <c r="H54" s="66">
        <f>250000+30000</f>
        <v>280000</v>
      </c>
      <c r="I54" s="66"/>
      <c r="J54" s="53">
        <f>I54</f>
        <v>0</v>
      </c>
    </row>
    <row r="55" spans="1:10" s="3" customFormat="1" ht="30.75" customHeight="1">
      <c r="A55" s="32" t="s">
        <v>199</v>
      </c>
      <c r="B55" s="30" t="s">
        <v>200</v>
      </c>
      <c r="C55" s="30" t="s">
        <v>201</v>
      </c>
      <c r="D55" s="36" t="s">
        <v>202</v>
      </c>
      <c r="E55" s="38" t="s">
        <v>237</v>
      </c>
      <c r="F55" s="67" t="s">
        <v>238</v>
      </c>
      <c r="G55" s="23">
        <f t="shared" si="2"/>
        <v>375000</v>
      </c>
      <c r="H55" s="66">
        <f>75000+100000+200000</f>
        <v>375000</v>
      </c>
      <c r="I55" s="66"/>
      <c r="J55" s="53"/>
    </row>
    <row r="56" ht="15.75">
      <c r="G56" s="23"/>
    </row>
    <row r="57" spans="1:10" ht="15.75">
      <c r="A57" s="159" t="s">
        <v>89</v>
      </c>
      <c r="B57" s="159"/>
      <c r="C57" s="159"/>
      <c r="D57" s="160" t="s">
        <v>90</v>
      </c>
      <c r="E57" s="160"/>
      <c r="F57" s="161"/>
      <c r="G57" s="18">
        <f>G58+G59+G60+G61+G62</f>
        <v>548000</v>
      </c>
      <c r="H57" s="19">
        <f>H58+H59+H60+H61+H62</f>
        <v>418000</v>
      </c>
      <c r="I57" s="19">
        <f>I58+I59+I60+I61+I62</f>
        <v>130000</v>
      </c>
      <c r="J57" s="18">
        <f>J58+J59+J60+J61+J62</f>
        <v>130000</v>
      </c>
    </row>
    <row r="58" spans="1:10" ht="47.25" customHeight="1">
      <c r="A58" s="34" t="s">
        <v>91</v>
      </c>
      <c r="B58" s="51" t="s">
        <v>94</v>
      </c>
      <c r="C58" s="51" t="s">
        <v>32</v>
      </c>
      <c r="D58" s="20" t="s">
        <v>97</v>
      </c>
      <c r="E58" s="21" t="s">
        <v>100</v>
      </c>
      <c r="F58" s="22" t="s">
        <v>103</v>
      </c>
      <c r="G58" s="23">
        <f aca="true" t="shared" si="3" ref="G58:G75">H58+I58</f>
        <v>80000</v>
      </c>
      <c r="H58" s="23">
        <f>20000+30000+30000</f>
        <v>80000</v>
      </c>
      <c r="I58" s="24"/>
      <c r="J58" s="23"/>
    </row>
    <row r="59" spans="1:10" ht="30">
      <c r="A59" s="162" t="s">
        <v>92</v>
      </c>
      <c r="B59" s="162" t="s">
        <v>95</v>
      </c>
      <c r="C59" s="162" t="s">
        <v>63</v>
      </c>
      <c r="D59" s="164" t="s">
        <v>98</v>
      </c>
      <c r="E59" s="62" t="s">
        <v>101</v>
      </c>
      <c r="F59" s="67" t="s">
        <v>114</v>
      </c>
      <c r="G59" s="23">
        <f t="shared" si="3"/>
        <v>5000</v>
      </c>
      <c r="H59" s="23">
        <v>5000</v>
      </c>
      <c r="I59" s="24"/>
      <c r="J59" s="23"/>
    </row>
    <row r="60" spans="1:10" ht="33.75" customHeight="1">
      <c r="A60" s="163"/>
      <c r="B60" s="163"/>
      <c r="C60" s="163"/>
      <c r="D60" s="165"/>
      <c r="E60" s="68" t="s">
        <v>209</v>
      </c>
      <c r="F60" s="22" t="s">
        <v>104</v>
      </c>
      <c r="G60" s="23">
        <f t="shared" si="3"/>
        <v>335000</v>
      </c>
      <c r="H60" s="23">
        <f>235000+40000</f>
        <v>275000</v>
      </c>
      <c r="I60" s="24">
        <v>60000</v>
      </c>
      <c r="J60" s="23">
        <f>I60</f>
        <v>60000</v>
      </c>
    </row>
    <row r="61" spans="1:10" ht="15.75">
      <c r="A61" s="163"/>
      <c r="B61" s="163"/>
      <c r="C61" s="163"/>
      <c r="D61" s="165"/>
      <c r="E61" s="166" t="s">
        <v>102</v>
      </c>
      <c r="F61" s="142" t="s">
        <v>105</v>
      </c>
      <c r="G61" s="23">
        <f t="shared" si="3"/>
        <v>120000</v>
      </c>
      <c r="H61" s="23">
        <f>50000</f>
        <v>50000</v>
      </c>
      <c r="I61" s="24">
        <f>70000</f>
        <v>70000</v>
      </c>
      <c r="J61" s="23">
        <f>I61</f>
        <v>70000</v>
      </c>
    </row>
    <row r="62" spans="1:10" ht="29.25" customHeight="1">
      <c r="A62" s="30" t="s">
        <v>93</v>
      </c>
      <c r="B62" s="30" t="s">
        <v>96</v>
      </c>
      <c r="C62" s="30" t="s">
        <v>63</v>
      </c>
      <c r="D62" s="36" t="s">
        <v>99</v>
      </c>
      <c r="E62" s="167"/>
      <c r="F62" s="142"/>
      <c r="G62" s="23">
        <f t="shared" si="3"/>
        <v>8000</v>
      </c>
      <c r="H62" s="24">
        <v>8000</v>
      </c>
      <c r="I62" s="24"/>
      <c r="J62" s="23"/>
    </row>
    <row r="63" spans="1:10" ht="15.75">
      <c r="A63" s="143" t="s">
        <v>106</v>
      </c>
      <c r="B63" s="144"/>
      <c r="C63" s="144"/>
      <c r="D63" s="144"/>
      <c r="E63" s="144"/>
      <c r="F63" s="145"/>
      <c r="G63" s="18">
        <f>H63+I63</f>
        <v>44321036</v>
      </c>
      <c r="H63" s="19">
        <f>H76+H91+H114+H81+H64+H65</f>
        <v>19205943</v>
      </c>
      <c r="I63" s="19">
        <f>I76+I91+I114+I81+I64+I65</f>
        <v>25115093</v>
      </c>
      <c r="J63" s="18">
        <f>J76+J91+J114+J81+J64+J65</f>
        <v>24670593</v>
      </c>
    </row>
    <row r="64" spans="1:10" s="44" customFormat="1" ht="30">
      <c r="A64" s="34" t="s">
        <v>158</v>
      </c>
      <c r="B64" s="30" t="s">
        <v>159</v>
      </c>
      <c r="C64" s="30" t="s">
        <v>37</v>
      </c>
      <c r="D64" s="69" t="s">
        <v>160</v>
      </c>
      <c r="E64" s="153" t="s">
        <v>247</v>
      </c>
      <c r="F64" s="133" t="s">
        <v>242</v>
      </c>
      <c r="G64" s="23">
        <f>H64+I64</f>
        <v>1914846</v>
      </c>
      <c r="H64" s="24"/>
      <c r="I64" s="66">
        <f>140000+1644846+130000</f>
        <v>1914846</v>
      </c>
      <c r="J64" s="23">
        <f>I64</f>
        <v>1914846</v>
      </c>
    </row>
    <row r="65" spans="1:10" s="44" customFormat="1" ht="15.75">
      <c r="A65" s="34" t="s">
        <v>232</v>
      </c>
      <c r="B65" s="30" t="s">
        <v>233</v>
      </c>
      <c r="C65" s="30" t="s">
        <v>19</v>
      </c>
      <c r="D65" s="70" t="s">
        <v>234</v>
      </c>
      <c r="E65" s="154"/>
      <c r="F65" s="155"/>
      <c r="G65" s="23">
        <f>H65+I65</f>
        <v>1850278</v>
      </c>
      <c r="H65" s="24"/>
      <c r="I65" s="66">
        <v>1850278</v>
      </c>
      <c r="J65" s="23">
        <f>I65</f>
        <v>1850278</v>
      </c>
    </row>
    <row r="66" spans="1:10" s="44" customFormat="1" ht="15.75">
      <c r="A66" s="124" t="s">
        <v>107</v>
      </c>
      <c r="B66" s="138"/>
      <c r="C66" s="138"/>
      <c r="D66" s="138"/>
      <c r="E66" s="137"/>
      <c r="F66" s="71"/>
      <c r="G66" s="18">
        <f>G64+G65</f>
        <v>3765124</v>
      </c>
      <c r="H66" s="18">
        <f>H64+H65</f>
        <v>0</v>
      </c>
      <c r="I66" s="18">
        <f>I64+I65</f>
        <v>3765124</v>
      </c>
      <c r="J66" s="18">
        <f>J64+J65</f>
        <v>3765124</v>
      </c>
    </row>
    <row r="67" spans="1:10" s="73" customFormat="1" ht="31.5">
      <c r="A67" s="39" t="s">
        <v>170</v>
      </c>
      <c r="B67" s="34" t="s">
        <v>171</v>
      </c>
      <c r="C67" s="34" t="s">
        <v>172</v>
      </c>
      <c r="D67" s="72" t="s">
        <v>173</v>
      </c>
      <c r="E67" s="146" t="s">
        <v>210</v>
      </c>
      <c r="F67" s="149" t="s">
        <v>248</v>
      </c>
      <c r="G67" s="53">
        <f t="shared" si="3"/>
        <v>4181900</v>
      </c>
      <c r="H67" s="53">
        <f>1846500+560000+65000+180000+380000+275000+350000+361400</f>
        <v>4017900</v>
      </c>
      <c r="I67" s="53">
        <f>18500+17000+30000+100000-1500</f>
        <v>164000</v>
      </c>
      <c r="J67" s="53">
        <f>18500+17000+30000</f>
        <v>65500</v>
      </c>
    </row>
    <row r="68" spans="1:11" s="75" customFormat="1" ht="29.25" customHeight="1">
      <c r="A68" s="32" t="s">
        <v>177</v>
      </c>
      <c r="B68" s="30" t="s">
        <v>178</v>
      </c>
      <c r="C68" s="30" t="s">
        <v>179</v>
      </c>
      <c r="D68" s="33" t="s">
        <v>180</v>
      </c>
      <c r="E68" s="147"/>
      <c r="F68" s="134"/>
      <c r="G68" s="53">
        <f t="shared" si="3"/>
        <v>140000</v>
      </c>
      <c r="H68" s="54">
        <f>100000+40000</f>
        <v>140000</v>
      </c>
      <c r="I68" s="54"/>
      <c r="J68" s="18"/>
      <c r="K68" s="74"/>
    </row>
    <row r="69" spans="1:10" s="75" customFormat="1" ht="29.25" customHeight="1">
      <c r="A69" s="39" t="s">
        <v>188</v>
      </c>
      <c r="B69" s="34" t="s">
        <v>186</v>
      </c>
      <c r="C69" s="34" t="s">
        <v>37</v>
      </c>
      <c r="D69" s="76" t="s">
        <v>189</v>
      </c>
      <c r="E69" s="147"/>
      <c r="F69" s="134"/>
      <c r="G69" s="53">
        <f t="shared" si="3"/>
        <v>39000</v>
      </c>
      <c r="H69" s="54">
        <f>34000+5000</f>
        <v>39000</v>
      </c>
      <c r="I69" s="54"/>
      <c r="J69" s="18"/>
    </row>
    <row r="70" spans="1:10" s="57" customFormat="1" ht="30">
      <c r="A70" s="32" t="s">
        <v>158</v>
      </c>
      <c r="B70" s="30" t="s">
        <v>159</v>
      </c>
      <c r="C70" s="30" t="s">
        <v>37</v>
      </c>
      <c r="D70" s="69" t="s">
        <v>160</v>
      </c>
      <c r="E70" s="147"/>
      <c r="F70" s="134"/>
      <c r="G70" s="23">
        <f t="shared" si="3"/>
        <v>416000</v>
      </c>
      <c r="H70" s="54">
        <f>156000+50000+50000+100000+60000</f>
        <v>416000</v>
      </c>
      <c r="I70" s="54"/>
      <c r="J70" s="53"/>
    </row>
    <row r="71" spans="1:10" s="57" customFormat="1" ht="30">
      <c r="A71" s="32" t="s">
        <v>161</v>
      </c>
      <c r="B71" s="30" t="s">
        <v>162</v>
      </c>
      <c r="C71" s="30" t="s">
        <v>37</v>
      </c>
      <c r="D71" s="77" t="s">
        <v>163</v>
      </c>
      <c r="E71" s="147"/>
      <c r="F71" s="134"/>
      <c r="G71" s="23">
        <f t="shared" si="3"/>
        <v>195000</v>
      </c>
      <c r="H71" s="53">
        <f>184000+3000+8000</f>
        <v>195000</v>
      </c>
      <c r="I71" s="54"/>
      <c r="J71" s="53"/>
    </row>
    <row r="72" spans="1:10" ht="45">
      <c r="A72" s="30" t="s">
        <v>35</v>
      </c>
      <c r="B72" s="30" t="s">
        <v>36</v>
      </c>
      <c r="C72" s="30" t="s">
        <v>37</v>
      </c>
      <c r="D72" s="69" t="s">
        <v>27</v>
      </c>
      <c r="E72" s="147"/>
      <c r="F72" s="134"/>
      <c r="G72" s="23">
        <f t="shared" si="3"/>
        <v>1493571</v>
      </c>
      <c r="H72" s="23">
        <f>600000+538571+105500-60000</f>
        <v>1184071</v>
      </c>
      <c r="I72" s="24">
        <f>35000+(199500+15000)+60000</f>
        <v>309500</v>
      </c>
      <c r="J72" s="23">
        <f>I72</f>
        <v>309500</v>
      </c>
    </row>
    <row r="73" spans="1:10" ht="15.75">
      <c r="A73" s="30" t="s">
        <v>38</v>
      </c>
      <c r="B73" s="30" t="s">
        <v>39</v>
      </c>
      <c r="C73" s="30" t="s">
        <v>37</v>
      </c>
      <c r="D73" s="69" t="s">
        <v>28</v>
      </c>
      <c r="E73" s="147"/>
      <c r="F73" s="134"/>
      <c r="G73" s="23">
        <f t="shared" si="3"/>
        <v>8482293</v>
      </c>
      <c r="H73" s="24">
        <f>-400000+8626293-150000-186000+50000+80000+400000</f>
        <v>8420293</v>
      </c>
      <c r="I73" s="24">
        <f>12000+50000</f>
        <v>62000</v>
      </c>
      <c r="J73" s="23">
        <f>I73</f>
        <v>62000</v>
      </c>
    </row>
    <row r="74" spans="1:10" ht="31.5">
      <c r="A74" s="39" t="s">
        <v>190</v>
      </c>
      <c r="B74" s="34" t="s">
        <v>187</v>
      </c>
      <c r="C74" s="34" t="s">
        <v>191</v>
      </c>
      <c r="D74" s="76" t="s">
        <v>192</v>
      </c>
      <c r="E74" s="147"/>
      <c r="F74" s="134"/>
      <c r="G74" s="23">
        <f t="shared" si="3"/>
        <v>73000</v>
      </c>
      <c r="H74" s="24">
        <f>30000+43000</f>
        <v>73000</v>
      </c>
      <c r="I74" s="24"/>
      <c r="J74" s="23"/>
    </row>
    <row r="75" spans="1:10" ht="15.75">
      <c r="A75" s="39" t="s">
        <v>139</v>
      </c>
      <c r="B75" s="34" t="s">
        <v>140</v>
      </c>
      <c r="C75" s="34" t="s">
        <v>141</v>
      </c>
      <c r="D75" s="76" t="s">
        <v>142</v>
      </c>
      <c r="E75" s="147"/>
      <c r="F75" s="134"/>
      <c r="G75" s="23">
        <f t="shared" si="3"/>
        <v>270000</v>
      </c>
      <c r="H75" s="24">
        <f>200000+30000+40000</f>
        <v>270000</v>
      </c>
      <c r="I75" s="24"/>
      <c r="J75" s="23"/>
    </row>
    <row r="76" spans="1:10" ht="17.25" customHeight="1">
      <c r="A76" s="124" t="s">
        <v>107</v>
      </c>
      <c r="B76" s="138"/>
      <c r="C76" s="138"/>
      <c r="D76" s="138"/>
      <c r="E76" s="148"/>
      <c r="F76" s="135"/>
      <c r="G76" s="18">
        <f>G67+G68+G69+G70+G71+G72+G73+G74+G75</f>
        <v>15290764</v>
      </c>
      <c r="H76" s="18">
        <f>H67+H68+H69+H70+H71+H72+H73+H74+H75</f>
        <v>14755264</v>
      </c>
      <c r="I76" s="18">
        <f>I67+I68+I69+I70+I71+I72+I73+I74+I75</f>
        <v>535500</v>
      </c>
      <c r="J76" s="18">
        <f>J67+J68+J69+J70+J71+J72+J73+J74+J75</f>
        <v>437000</v>
      </c>
    </row>
    <row r="77" spans="1:10" ht="17.25" customHeight="1">
      <c r="A77" s="30" t="s">
        <v>45</v>
      </c>
      <c r="B77" s="78">
        <v>1010</v>
      </c>
      <c r="C77" s="30" t="s">
        <v>59</v>
      </c>
      <c r="D77" s="36" t="s">
        <v>64</v>
      </c>
      <c r="E77" s="130" t="s">
        <v>181</v>
      </c>
      <c r="F77" s="133" t="s">
        <v>185</v>
      </c>
      <c r="G77" s="23">
        <f aca="true" t="shared" si="4" ref="G77:G82">H77+I77</f>
        <v>27489</v>
      </c>
      <c r="H77" s="24">
        <f>1729+25760</f>
        <v>27489</v>
      </c>
      <c r="I77" s="50"/>
      <c r="J77" s="18"/>
    </row>
    <row r="78" spans="1:10" ht="60" customHeight="1">
      <c r="A78" s="30" t="s">
        <v>46</v>
      </c>
      <c r="B78" s="78">
        <v>1020</v>
      </c>
      <c r="C78" s="30" t="s">
        <v>60</v>
      </c>
      <c r="D78" s="36" t="s">
        <v>65</v>
      </c>
      <c r="E78" s="131"/>
      <c r="F78" s="134"/>
      <c r="G78" s="23">
        <f t="shared" si="4"/>
        <v>172899</v>
      </c>
      <c r="H78" s="24">
        <f>(31110*3)+28020+18570+28980+3999</f>
        <v>172899</v>
      </c>
      <c r="I78" s="50"/>
      <c r="J78" s="18"/>
    </row>
    <row r="79" spans="1:10" ht="30" customHeight="1">
      <c r="A79" s="39" t="s">
        <v>51</v>
      </c>
      <c r="B79" s="34" t="s">
        <v>58</v>
      </c>
      <c r="C79" s="34" t="s">
        <v>63</v>
      </c>
      <c r="D79" s="65" t="s">
        <v>70</v>
      </c>
      <c r="E79" s="131"/>
      <c r="F79" s="134"/>
      <c r="G79" s="23">
        <f t="shared" si="4"/>
        <v>18570</v>
      </c>
      <c r="H79" s="24">
        <v>18570</v>
      </c>
      <c r="I79" s="50"/>
      <c r="J79" s="18"/>
    </row>
    <row r="80" spans="1:10" ht="30" customHeight="1">
      <c r="A80" s="79" t="s">
        <v>236</v>
      </c>
      <c r="B80" s="34" t="s">
        <v>182</v>
      </c>
      <c r="C80" s="34" t="s">
        <v>183</v>
      </c>
      <c r="D80" s="68" t="s">
        <v>184</v>
      </c>
      <c r="E80" s="131"/>
      <c r="F80" s="134"/>
      <c r="G80" s="23">
        <f>H80+I80</f>
        <v>40000</v>
      </c>
      <c r="H80" s="23">
        <f>5000+35000</f>
        <v>40000</v>
      </c>
      <c r="I80" s="23"/>
      <c r="J80" s="23"/>
    </row>
    <row r="81" spans="1:10" s="29" customFormat="1" ht="17.25" customHeight="1">
      <c r="A81" s="124" t="s">
        <v>107</v>
      </c>
      <c r="B81" s="127"/>
      <c r="C81" s="127"/>
      <c r="D81" s="127"/>
      <c r="E81" s="132"/>
      <c r="F81" s="135"/>
      <c r="G81" s="50">
        <f>G77+G78+G79+G80</f>
        <v>258958</v>
      </c>
      <c r="H81" s="50">
        <f>H77+H78+H79+H80</f>
        <v>258958</v>
      </c>
      <c r="I81" s="50">
        <f>I80+I77+I78+I79</f>
        <v>0</v>
      </c>
      <c r="J81" s="18">
        <f>J80+J77+J78+J79</f>
        <v>0</v>
      </c>
    </row>
    <row r="82" spans="1:10" ht="30" customHeight="1">
      <c r="A82" s="30" t="s">
        <v>135</v>
      </c>
      <c r="B82" s="30" t="s">
        <v>136</v>
      </c>
      <c r="C82" s="30" t="s">
        <v>137</v>
      </c>
      <c r="D82" s="36" t="s">
        <v>138</v>
      </c>
      <c r="E82" s="150" t="s">
        <v>176</v>
      </c>
      <c r="F82" s="121" t="s">
        <v>196</v>
      </c>
      <c r="G82" s="18">
        <f t="shared" si="4"/>
        <v>154956</v>
      </c>
      <c r="H82" s="66">
        <f>154956</f>
        <v>154956</v>
      </c>
      <c r="I82" s="66"/>
      <c r="J82" s="53"/>
    </row>
    <row r="83" spans="1:10" ht="15.75">
      <c r="A83" s="30" t="s">
        <v>18</v>
      </c>
      <c r="B83" s="30" t="s">
        <v>19</v>
      </c>
      <c r="C83" s="30" t="s">
        <v>20</v>
      </c>
      <c r="D83" s="37" t="s">
        <v>17</v>
      </c>
      <c r="E83" s="151"/>
      <c r="F83" s="122"/>
      <c r="G83" s="18">
        <f aca="true" t="shared" si="5" ref="G83:G90">H83+I83</f>
        <v>45000</v>
      </c>
      <c r="H83" s="66">
        <f>45000</f>
        <v>45000</v>
      </c>
      <c r="I83" s="66"/>
      <c r="J83" s="53"/>
    </row>
    <row r="84" spans="1:10" ht="15.75">
      <c r="A84" s="30" t="s">
        <v>45</v>
      </c>
      <c r="B84" s="78">
        <v>1010</v>
      </c>
      <c r="C84" s="30" t="s">
        <v>59</v>
      </c>
      <c r="D84" s="36" t="s">
        <v>64</v>
      </c>
      <c r="E84" s="151"/>
      <c r="F84" s="122"/>
      <c r="G84" s="18">
        <f t="shared" si="5"/>
        <v>3000</v>
      </c>
      <c r="H84" s="66">
        <v>3000</v>
      </c>
      <c r="I84" s="66"/>
      <c r="J84" s="53"/>
    </row>
    <row r="85" spans="1:10" ht="60">
      <c r="A85" s="30" t="s">
        <v>46</v>
      </c>
      <c r="B85" s="78">
        <v>1020</v>
      </c>
      <c r="C85" s="30" t="s">
        <v>60</v>
      </c>
      <c r="D85" s="36" t="s">
        <v>65</v>
      </c>
      <c r="E85" s="151"/>
      <c r="F85" s="122"/>
      <c r="G85" s="18">
        <f t="shared" si="5"/>
        <v>17000</v>
      </c>
      <c r="H85" s="66">
        <f>7000+10000</f>
        <v>17000</v>
      </c>
      <c r="I85" s="66"/>
      <c r="J85" s="53"/>
    </row>
    <row r="86" spans="1:10" ht="30" customHeight="1">
      <c r="A86" s="30" t="s">
        <v>143</v>
      </c>
      <c r="B86" s="30" t="s">
        <v>136</v>
      </c>
      <c r="C86" s="30" t="s">
        <v>137</v>
      </c>
      <c r="D86" s="36" t="s">
        <v>138</v>
      </c>
      <c r="E86" s="151"/>
      <c r="F86" s="122"/>
      <c r="G86" s="18">
        <f t="shared" si="5"/>
        <v>25000</v>
      </c>
      <c r="H86" s="66">
        <f>10000+15000</f>
        <v>25000</v>
      </c>
      <c r="I86" s="66"/>
      <c r="J86" s="53"/>
    </row>
    <row r="87" spans="1:10" ht="30">
      <c r="A87" s="30" t="s">
        <v>144</v>
      </c>
      <c r="B87" s="30" t="s">
        <v>145</v>
      </c>
      <c r="C87" s="30" t="s">
        <v>146</v>
      </c>
      <c r="D87" s="36" t="s">
        <v>147</v>
      </c>
      <c r="E87" s="151"/>
      <c r="F87" s="122"/>
      <c r="G87" s="18">
        <f t="shared" si="5"/>
        <v>54020</v>
      </c>
      <c r="H87" s="66">
        <f>20000+34020</f>
        <v>54020</v>
      </c>
      <c r="I87" s="66"/>
      <c r="J87" s="53"/>
    </row>
    <row r="88" spans="1:10" ht="15.75">
      <c r="A88" s="30" t="s">
        <v>91</v>
      </c>
      <c r="B88" s="30" t="s">
        <v>94</v>
      </c>
      <c r="C88" s="30" t="s">
        <v>32</v>
      </c>
      <c r="D88" s="36" t="s">
        <v>97</v>
      </c>
      <c r="E88" s="151"/>
      <c r="F88" s="122"/>
      <c r="G88" s="18">
        <f t="shared" si="5"/>
        <v>10000</v>
      </c>
      <c r="H88" s="66">
        <v>10000</v>
      </c>
      <c r="I88" s="66"/>
      <c r="J88" s="53"/>
    </row>
    <row r="89" spans="1:10" ht="17.25" customHeight="1">
      <c r="A89" s="30" t="s">
        <v>148</v>
      </c>
      <c r="B89" s="30" t="s">
        <v>149</v>
      </c>
      <c r="C89" s="30" t="s">
        <v>63</v>
      </c>
      <c r="D89" s="36" t="s">
        <v>150</v>
      </c>
      <c r="E89" s="151"/>
      <c r="F89" s="122"/>
      <c r="G89" s="18">
        <f t="shared" si="5"/>
        <v>19000</v>
      </c>
      <c r="H89" s="66">
        <f>9000+10000</f>
        <v>19000</v>
      </c>
      <c r="I89" s="66"/>
      <c r="J89" s="53"/>
    </row>
    <row r="90" spans="1:10" ht="27.75" customHeight="1">
      <c r="A90" s="30" t="s">
        <v>151</v>
      </c>
      <c r="B90" s="30" t="s">
        <v>136</v>
      </c>
      <c r="C90" s="30" t="s">
        <v>137</v>
      </c>
      <c r="D90" s="36" t="s">
        <v>138</v>
      </c>
      <c r="E90" s="151"/>
      <c r="F90" s="122"/>
      <c r="G90" s="18">
        <f t="shared" si="5"/>
        <v>33000</v>
      </c>
      <c r="H90" s="66">
        <f>5000+28000</f>
        <v>33000</v>
      </c>
      <c r="I90" s="66"/>
      <c r="J90" s="53"/>
    </row>
    <row r="91" spans="1:10" ht="15">
      <c r="A91" s="124" t="s">
        <v>107</v>
      </c>
      <c r="B91" s="125"/>
      <c r="C91" s="125"/>
      <c r="D91" s="126"/>
      <c r="E91" s="152"/>
      <c r="F91" s="123"/>
      <c r="G91" s="80">
        <f>G82+G83+G84+G85+G86+G87+G88+G89+G90</f>
        <v>360976</v>
      </c>
      <c r="H91" s="80">
        <f>H82+H83+H84+H85+H86+H87+H88+H89+H90</f>
        <v>360976</v>
      </c>
      <c r="I91" s="66"/>
      <c r="J91" s="53"/>
    </row>
    <row r="92" spans="1:10" ht="20.25" customHeight="1">
      <c r="A92" s="39" t="s">
        <v>45</v>
      </c>
      <c r="B92" s="34" t="s">
        <v>52</v>
      </c>
      <c r="C92" s="34" t="s">
        <v>59</v>
      </c>
      <c r="D92" s="65" t="s">
        <v>64</v>
      </c>
      <c r="E92" s="130" t="s">
        <v>225</v>
      </c>
      <c r="F92" s="133" t="s">
        <v>249</v>
      </c>
      <c r="G92" s="18">
        <f>H92+I92</f>
        <v>638236</v>
      </c>
      <c r="H92" s="80"/>
      <c r="I92" s="66">
        <f>430173+123000+38806+4022+28000+14235</f>
        <v>638236</v>
      </c>
      <c r="J92" s="53">
        <f>I92-28000</f>
        <v>610236</v>
      </c>
    </row>
    <row r="93" spans="1:11" ht="60">
      <c r="A93" s="32" t="s">
        <v>46</v>
      </c>
      <c r="B93" s="30" t="s">
        <v>53</v>
      </c>
      <c r="C93" s="30" t="s">
        <v>60</v>
      </c>
      <c r="D93" s="36" t="s">
        <v>65</v>
      </c>
      <c r="E93" s="136"/>
      <c r="F93" s="122"/>
      <c r="G93" s="18">
        <f>H93+I93</f>
        <v>1587679</v>
      </c>
      <c r="H93" s="80"/>
      <c r="I93" s="66">
        <f>269833+185000+188397+606770+193777+13600+2018+65000+50000+13284</f>
        <v>1587679</v>
      </c>
      <c r="J93" s="53">
        <f>I93-185000-28000</f>
        <v>1374679</v>
      </c>
      <c r="K93" s="81"/>
    </row>
    <row r="94" spans="1:11" ht="31.5">
      <c r="A94" s="114" t="s">
        <v>263</v>
      </c>
      <c r="B94" s="111" t="s">
        <v>260</v>
      </c>
      <c r="C94" s="111" t="s">
        <v>261</v>
      </c>
      <c r="D94" s="110" t="s">
        <v>268</v>
      </c>
      <c r="E94" s="136"/>
      <c r="F94" s="122"/>
      <c r="G94" s="18">
        <f>H94+I94</f>
        <v>3360</v>
      </c>
      <c r="H94" s="66">
        <v>3360</v>
      </c>
      <c r="I94" s="66"/>
      <c r="J94" s="53"/>
      <c r="K94" s="81"/>
    </row>
    <row r="95" spans="1:11" ht="31.5">
      <c r="A95" s="118"/>
      <c r="B95" s="117"/>
      <c r="C95" s="117"/>
      <c r="D95" s="110" t="s">
        <v>269</v>
      </c>
      <c r="E95" s="136"/>
      <c r="F95" s="122"/>
      <c r="G95" s="18">
        <f>H95+I95</f>
        <v>4000</v>
      </c>
      <c r="H95" s="66">
        <v>4000</v>
      </c>
      <c r="I95" s="66"/>
      <c r="J95" s="53"/>
      <c r="K95" s="81"/>
    </row>
    <row r="96" spans="1:10" ht="18.75" customHeight="1">
      <c r="A96" s="32" t="s">
        <v>170</v>
      </c>
      <c r="B96" s="30" t="s">
        <v>171</v>
      </c>
      <c r="C96" s="30" t="s">
        <v>172</v>
      </c>
      <c r="D96" s="31" t="s">
        <v>173</v>
      </c>
      <c r="E96" s="136"/>
      <c r="F96" s="122"/>
      <c r="G96" s="18">
        <f aca="true" t="shared" si="6" ref="G96:G114">H96+I96</f>
        <v>759542</v>
      </c>
      <c r="H96" s="80"/>
      <c r="I96" s="66">
        <f>441542+311000+7000</f>
        <v>759542</v>
      </c>
      <c r="J96" s="53">
        <f>I96-7000</f>
        <v>752542</v>
      </c>
    </row>
    <row r="97" spans="1:10" ht="43.5" customHeight="1">
      <c r="A97" s="32" t="s">
        <v>226</v>
      </c>
      <c r="B97" s="30" t="s">
        <v>227</v>
      </c>
      <c r="C97" s="30" t="s">
        <v>53</v>
      </c>
      <c r="D97" s="37" t="s">
        <v>228</v>
      </c>
      <c r="E97" s="136"/>
      <c r="F97" s="122"/>
      <c r="G97" s="18">
        <f t="shared" si="6"/>
        <v>5426814</v>
      </c>
      <c r="H97" s="80"/>
      <c r="I97" s="1">
        <f>3950000+3000+1650000+109300-200000+1450000-1535486</f>
        <v>5426814</v>
      </c>
      <c r="J97" s="53">
        <f aca="true" t="shared" si="7" ref="J97:J113">I97</f>
        <v>5426814</v>
      </c>
    </row>
    <row r="98" spans="1:10" ht="20.25" customHeight="1">
      <c r="A98" s="39" t="s">
        <v>148</v>
      </c>
      <c r="B98" s="34" t="s">
        <v>149</v>
      </c>
      <c r="C98" s="34" t="s">
        <v>63</v>
      </c>
      <c r="D98" s="65" t="s">
        <v>150</v>
      </c>
      <c r="E98" s="136"/>
      <c r="F98" s="122"/>
      <c r="G98" s="18">
        <f t="shared" si="6"/>
        <v>37000</v>
      </c>
      <c r="H98" s="80"/>
      <c r="I98" s="66">
        <v>37000</v>
      </c>
      <c r="J98" s="53">
        <f t="shared" si="7"/>
        <v>37000</v>
      </c>
    </row>
    <row r="99" spans="1:10" ht="30" customHeight="1">
      <c r="A99" s="39" t="s">
        <v>158</v>
      </c>
      <c r="B99" s="34" t="s">
        <v>159</v>
      </c>
      <c r="C99" s="34" t="s">
        <v>37</v>
      </c>
      <c r="D99" s="76" t="s">
        <v>160</v>
      </c>
      <c r="E99" s="136"/>
      <c r="F99" s="122"/>
      <c r="G99" s="18">
        <f t="shared" si="6"/>
        <v>110000</v>
      </c>
      <c r="H99" s="66">
        <v>80000</v>
      </c>
      <c r="I99" s="66">
        <v>30000</v>
      </c>
      <c r="J99" s="53">
        <f t="shared" si="7"/>
        <v>30000</v>
      </c>
    </row>
    <row r="100" spans="1:10" ht="45">
      <c r="A100" s="32" t="s">
        <v>35</v>
      </c>
      <c r="B100" s="30" t="s">
        <v>36</v>
      </c>
      <c r="C100" s="30" t="s">
        <v>37</v>
      </c>
      <c r="D100" s="37" t="s">
        <v>27</v>
      </c>
      <c r="E100" s="136"/>
      <c r="F100" s="122"/>
      <c r="G100" s="18">
        <f t="shared" si="6"/>
        <v>1270075</v>
      </c>
      <c r="H100" s="80"/>
      <c r="I100" s="66">
        <f>159275+199500+30800-199500+1080000</f>
        <v>1270075</v>
      </c>
      <c r="J100" s="53">
        <f t="shared" si="7"/>
        <v>1270075</v>
      </c>
    </row>
    <row r="101" spans="1:11" ht="15.75">
      <c r="A101" s="32" t="s">
        <v>38</v>
      </c>
      <c r="B101" s="30" t="s">
        <v>39</v>
      </c>
      <c r="C101" s="30" t="s">
        <v>37</v>
      </c>
      <c r="D101" s="37" t="s">
        <v>28</v>
      </c>
      <c r="E101" s="136"/>
      <c r="F101" s="122"/>
      <c r="G101" s="18">
        <f t="shared" si="6"/>
        <v>1564205</v>
      </c>
      <c r="H101" s="66">
        <f>381000+700000</f>
        <v>1081000</v>
      </c>
      <c r="I101" s="53">
        <f>119000+150000+8205-39560+49000+119000+77560</f>
        <v>483205</v>
      </c>
      <c r="J101" s="53">
        <f>I101-49000-49000</f>
        <v>385205</v>
      </c>
      <c r="K101" s="81"/>
    </row>
    <row r="102" spans="1:10" ht="33" customHeight="1">
      <c r="A102" s="32" t="s">
        <v>229</v>
      </c>
      <c r="B102" s="30" t="s">
        <v>230</v>
      </c>
      <c r="C102" s="30" t="s">
        <v>113</v>
      </c>
      <c r="D102" s="37" t="s">
        <v>231</v>
      </c>
      <c r="E102" s="136"/>
      <c r="F102" s="122"/>
      <c r="G102" s="18">
        <f t="shared" si="6"/>
        <v>2608600</v>
      </c>
      <c r="H102" s="80"/>
      <c r="I102" s="66">
        <f>2058600+550000</f>
        <v>2608600</v>
      </c>
      <c r="J102" s="53">
        <f t="shared" si="7"/>
        <v>2608600</v>
      </c>
    </row>
    <row r="103" spans="1:10" ht="33" customHeight="1">
      <c r="A103" s="106" t="s">
        <v>257</v>
      </c>
      <c r="B103" s="105">
        <v>7368</v>
      </c>
      <c r="C103" s="107" t="s">
        <v>113</v>
      </c>
      <c r="D103" s="108" t="s">
        <v>258</v>
      </c>
      <c r="E103" s="136"/>
      <c r="F103" s="122"/>
      <c r="G103" s="18">
        <f t="shared" si="6"/>
        <v>1450000</v>
      </c>
      <c r="H103" s="80"/>
      <c r="I103" s="66">
        <v>1450000</v>
      </c>
      <c r="J103" s="53">
        <f t="shared" si="7"/>
        <v>1450000</v>
      </c>
    </row>
    <row r="104" spans="1:10" ht="30" customHeight="1">
      <c r="A104" s="30" t="s">
        <v>108</v>
      </c>
      <c r="B104" s="30" t="s">
        <v>109</v>
      </c>
      <c r="C104" s="30" t="s">
        <v>110</v>
      </c>
      <c r="D104" s="82" t="s">
        <v>111</v>
      </c>
      <c r="E104" s="136"/>
      <c r="F104" s="122"/>
      <c r="G104" s="18">
        <f t="shared" si="6"/>
        <v>8461738</v>
      </c>
      <c r="H104" s="23">
        <f>3007000-1100000+186000+200000+80000+350000</f>
        <v>2723000</v>
      </c>
      <c r="I104" s="24">
        <f>900000+519567+42686+42925+761000-363440+1496000+2400000+90000-150000</f>
        <v>5738738</v>
      </c>
      <c r="J104" s="53">
        <f t="shared" si="7"/>
        <v>5738738</v>
      </c>
    </row>
    <row r="105" spans="1:10" ht="20.25" customHeight="1">
      <c r="A105" s="109" t="s">
        <v>259</v>
      </c>
      <c r="B105" s="34" t="s">
        <v>260</v>
      </c>
      <c r="C105" s="34" t="s">
        <v>261</v>
      </c>
      <c r="D105" s="76" t="s">
        <v>262</v>
      </c>
      <c r="E105" s="136"/>
      <c r="F105" s="122"/>
      <c r="G105" s="18">
        <f t="shared" si="6"/>
        <v>20000</v>
      </c>
      <c r="H105" s="23"/>
      <c r="I105" s="24">
        <v>20000</v>
      </c>
      <c r="J105" s="53">
        <f t="shared" si="7"/>
        <v>20000</v>
      </c>
    </row>
    <row r="106" spans="1:10" ht="31.5" customHeight="1">
      <c r="A106" s="114" t="s">
        <v>264</v>
      </c>
      <c r="B106" s="111" t="s">
        <v>260</v>
      </c>
      <c r="C106" s="111" t="s">
        <v>261</v>
      </c>
      <c r="D106" s="110" t="s">
        <v>270</v>
      </c>
      <c r="E106" s="136"/>
      <c r="F106" s="122"/>
      <c r="G106" s="18">
        <f t="shared" si="6"/>
        <v>11165</v>
      </c>
      <c r="H106" s="23">
        <v>11165</v>
      </c>
      <c r="I106" s="24"/>
      <c r="J106" s="53">
        <f t="shared" si="7"/>
        <v>0</v>
      </c>
    </row>
    <row r="107" spans="1:10" ht="31.5" customHeight="1">
      <c r="A107" s="116"/>
      <c r="B107" s="113"/>
      <c r="C107" s="113"/>
      <c r="D107" s="110" t="s">
        <v>271</v>
      </c>
      <c r="E107" s="136"/>
      <c r="F107" s="122"/>
      <c r="G107" s="18">
        <f t="shared" si="6"/>
        <v>1850</v>
      </c>
      <c r="H107" s="23">
        <v>1850</v>
      </c>
      <c r="I107" s="24"/>
      <c r="J107" s="53"/>
    </row>
    <row r="108" spans="1:10" ht="30.75" customHeight="1">
      <c r="A108" s="114" t="s">
        <v>267</v>
      </c>
      <c r="B108" s="111" t="s">
        <v>260</v>
      </c>
      <c r="C108" s="111" t="s">
        <v>261</v>
      </c>
      <c r="D108" s="110" t="s">
        <v>272</v>
      </c>
      <c r="E108" s="136"/>
      <c r="F108" s="122"/>
      <c r="G108" s="18">
        <f t="shared" si="6"/>
        <v>1090</v>
      </c>
      <c r="H108" s="23">
        <v>1090</v>
      </c>
      <c r="I108" s="24"/>
      <c r="J108" s="53">
        <f t="shared" si="7"/>
        <v>0</v>
      </c>
    </row>
    <row r="109" spans="1:10" ht="30.75" customHeight="1">
      <c r="A109" s="115"/>
      <c r="B109" s="112"/>
      <c r="C109" s="112"/>
      <c r="D109" s="110" t="s">
        <v>273</v>
      </c>
      <c r="E109" s="136"/>
      <c r="F109" s="122"/>
      <c r="G109" s="18">
        <f t="shared" si="6"/>
        <v>700</v>
      </c>
      <c r="H109" s="23">
        <v>700</v>
      </c>
      <c r="I109" s="24"/>
      <c r="J109" s="53"/>
    </row>
    <row r="110" spans="1:10" ht="30.75" customHeight="1">
      <c r="A110" s="116"/>
      <c r="B110" s="113"/>
      <c r="C110" s="113"/>
      <c r="D110" s="110" t="s">
        <v>274</v>
      </c>
      <c r="E110" s="136"/>
      <c r="F110" s="122"/>
      <c r="G110" s="18">
        <f t="shared" si="6"/>
        <v>2120</v>
      </c>
      <c r="H110" s="23">
        <v>2120</v>
      </c>
      <c r="I110" s="24"/>
      <c r="J110" s="53"/>
    </row>
    <row r="111" spans="1:10" ht="20.25" customHeight="1">
      <c r="A111" s="109" t="s">
        <v>265</v>
      </c>
      <c r="B111" s="34" t="s">
        <v>260</v>
      </c>
      <c r="C111" s="34" t="s">
        <v>261</v>
      </c>
      <c r="D111" s="76" t="s">
        <v>262</v>
      </c>
      <c r="E111" s="136"/>
      <c r="F111" s="122"/>
      <c r="G111" s="18">
        <f t="shared" si="6"/>
        <v>200</v>
      </c>
      <c r="H111" s="23">
        <v>200</v>
      </c>
      <c r="I111" s="24"/>
      <c r="J111" s="53">
        <f t="shared" si="7"/>
        <v>0</v>
      </c>
    </row>
    <row r="112" spans="1:10" ht="20.25" customHeight="1">
      <c r="A112" s="109" t="s">
        <v>266</v>
      </c>
      <c r="B112" s="34" t="s">
        <v>260</v>
      </c>
      <c r="C112" s="34" t="s">
        <v>261</v>
      </c>
      <c r="D112" s="76" t="s">
        <v>262</v>
      </c>
      <c r="E112" s="136"/>
      <c r="F112" s="122"/>
      <c r="G112" s="18">
        <f t="shared" si="6"/>
        <v>2260</v>
      </c>
      <c r="H112" s="23">
        <v>2260</v>
      </c>
      <c r="I112" s="24"/>
      <c r="J112" s="53">
        <f t="shared" si="7"/>
        <v>0</v>
      </c>
    </row>
    <row r="113" spans="1:10" ht="16.5" customHeight="1">
      <c r="A113" s="32" t="s">
        <v>232</v>
      </c>
      <c r="B113" s="30" t="s">
        <v>233</v>
      </c>
      <c r="C113" s="30" t="s">
        <v>19</v>
      </c>
      <c r="D113" s="70" t="s">
        <v>234</v>
      </c>
      <c r="E113" s="136"/>
      <c r="F113" s="122"/>
      <c r="G113" s="18">
        <f t="shared" si="6"/>
        <v>794580</v>
      </c>
      <c r="H113" s="80"/>
      <c r="I113" s="12">
        <f>7175844+738891-1850278-2763968+55689-2561598</f>
        <v>794580</v>
      </c>
      <c r="J113" s="53">
        <f t="shared" si="7"/>
        <v>794580</v>
      </c>
    </row>
    <row r="114" spans="1:10" ht="15.75">
      <c r="A114" s="124" t="s">
        <v>107</v>
      </c>
      <c r="B114" s="138"/>
      <c r="C114" s="138"/>
      <c r="D114" s="139"/>
      <c r="E114" s="137"/>
      <c r="F114" s="123"/>
      <c r="G114" s="18">
        <f t="shared" si="6"/>
        <v>24645214</v>
      </c>
      <c r="H114" s="18">
        <f>H92+H93+H94+H95+H96+H97+H98+H100+H101+H102+H103+H104+H105+H106+H107+H108+H109+H110+H111+H112+H113</f>
        <v>3830745</v>
      </c>
      <c r="I114" s="18">
        <f>I92+I93+I94+I95+I96+I97+I98+I100+I101+I102+I103+I104+I105+I106+I107+I108+I109+I110+I111+I112+I113</f>
        <v>20814469</v>
      </c>
      <c r="J114" s="18">
        <f>J92+J93+J94+J95+J96+J97+J98+J100+J101+J102+J103+J104+J105+J106+J107+J108+J109+J110+J111+J112+J113</f>
        <v>20468469</v>
      </c>
    </row>
    <row r="115" spans="1:11" ht="15.75">
      <c r="A115" s="15" t="s">
        <v>6</v>
      </c>
      <c r="B115" s="15" t="s">
        <v>6</v>
      </c>
      <c r="C115" s="15" t="s">
        <v>6</v>
      </c>
      <c r="D115" s="83" t="s">
        <v>7</v>
      </c>
      <c r="E115" s="17" t="s">
        <v>6</v>
      </c>
      <c r="F115" s="17" t="s">
        <v>6</v>
      </c>
      <c r="G115" s="18">
        <f>G11+G28+G39+G51+G57+G63</f>
        <v>121899396.49000001</v>
      </c>
      <c r="H115" s="18">
        <f>H11+H28+H39+H51+H57+H63</f>
        <v>93490890.49000001</v>
      </c>
      <c r="I115" s="18">
        <f>I11+I28+I39+I51+I57+I63</f>
        <v>28408506</v>
      </c>
      <c r="J115" s="18">
        <f>J11+J28+J39+J51+J57+J63</f>
        <v>27964006</v>
      </c>
      <c r="K115" s="81"/>
    </row>
    <row r="117" ht="57.75" customHeight="1">
      <c r="I117" s="84"/>
    </row>
    <row r="118" spans="1:10" s="90" customFormat="1" ht="20.25">
      <c r="A118" s="85"/>
      <c r="B118" s="85"/>
      <c r="C118" s="85"/>
      <c r="D118" s="86" t="s">
        <v>240</v>
      </c>
      <c r="E118" s="87"/>
      <c r="F118" s="87"/>
      <c r="G118" s="86" t="s">
        <v>241</v>
      </c>
      <c r="H118" s="88"/>
      <c r="I118" s="88"/>
      <c r="J118" s="89"/>
    </row>
    <row r="119" spans="9:10" ht="15">
      <c r="I119" s="5">
        <f>J119+346000</f>
        <v>24805905</v>
      </c>
      <c r="J119" s="8">
        <f>24459905</f>
        <v>24459905</v>
      </c>
    </row>
    <row r="120" spans="7:11" ht="15.75">
      <c r="G120" s="91"/>
      <c r="H120" s="92"/>
      <c r="I120" s="93">
        <f>I119-I115</f>
        <v>-3602601</v>
      </c>
      <c r="J120" s="119">
        <f>J119-J115</f>
        <v>-3504101</v>
      </c>
      <c r="K120" s="120"/>
    </row>
    <row r="121" spans="7:11" ht="15.75">
      <c r="G121" s="91"/>
      <c r="H121" s="92"/>
      <c r="I121" s="92"/>
      <c r="J121" s="128"/>
      <c r="K121" s="129"/>
    </row>
    <row r="122" spans="7:10" ht="15.75">
      <c r="G122" s="94"/>
      <c r="H122" s="95"/>
      <c r="I122" s="92"/>
      <c r="J122" s="96"/>
    </row>
    <row r="123" spans="7:10" ht="15.75">
      <c r="G123" s="140"/>
      <c r="H123" s="141"/>
      <c r="I123" s="97"/>
      <c r="J123" s="91"/>
    </row>
    <row r="124" spans="7:10" ht="15.75">
      <c r="G124" s="94"/>
      <c r="H124" s="95"/>
      <c r="I124" s="98"/>
      <c r="J124" s="91"/>
    </row>
    <row r="125" spans="7:10" ht="15.75">
      <c r="G125" s="94"/>
      <c r="H125" s="95"/>
      <c r="I125" s="92"/>
      <c r="J125" s="91"/>
    </row>
    <row r="126" spans="7:10" ht="15.75">
      <c r="G126" s="91"/>
      <c r="H126" s="92"/>
      <c r="I126" s="92"/>
      <c r="J126" s="91"/>
    </row>
    <row r="131" ht="15">
      <c r="I131" s="99"/>
    </row>
  </sheetData>
  <sheetProtection/>
  <mergeCells count="82">
    <mergeCell ref="G1:J1"/>
    <mergeCell ref="G2:J2"/>
    <mergeCell ref="G3:J3"/>
    <mergeCell ref="G4:J4"/>
    <mergeCell ref="G8:G9"/>
    <mergeCell ref="H8:H9"/>
    <mergeCell ref="I8:J8"/>
    <mergeCell ref="A8:A9"/>
    <mergeCell ref="B8:B9"/>
    <mergeCell ref="C8:C9"/>
    <mergeCell ref="D8:D9"/>
    <mergeCell ref="E8:E9"/>
    <mergeCell ref="F8:F9"/>
    <mergeCell ref="A11:C11"/>
    <mergeCell ref="D11:F11"/>
    <mergeCell ref="A12:A15"/>
    <mergeCell ref="B12:B15"/>
    <mergeCell ref="C12:C15"/>
    <mergeCell ref="D12:D15"/>
    <mergeCell ref="A16:D16"/>
    <mergeCell ref="E18:E19"/>
    <mergeCell ref="F18:F19"/>
    <mergeCell ref="E22:E23"/>
    <mergeCell ref="F22:F23"/>
    <mergeCell ref="A28:C28"/>
    <mergeCell ref="D28:F28"/>
    <mergeCell ref="D17:D18"/>
    <mergeCell ref="C17:C18"/>
    <mergeCell ref="B17:B18"/>
    <mergeCell ref="F30:F38"/>
    <mergeCell ref="A38:D38"/>
    <mergeCell ref="A39:C39"/>
    <mergeCell ref="D39:F39"/>
    <mergeCell ref="E41:E44"/>
    <mergeCell ref="F41:F44"/>
    <mergeCell ref="A44:D44"/>
    <mergeCell ref="E29:E38"/>
    <mergeCell ref="A45:A48"/>
    <mergeCell ref="B45:B48"/>
    <mergeCell ref="C45:C48"/>
    <mergeCell ref="D45:E45"/>
    <mergeCell ref="F48:F49"/>
    <mergeCell ref="E48:E50"/>
    <mergeCell ref="D51:F51"/>
    <mergeCell ref="A57:C57"/>
    <mergeCell ref="D57:F57"/>
    <mergeCell ref="A59:A61"/>
    <mergeCell ref="B59:B61"/>
    <mergeCell ref="C59:C61"/>
    <mergeCell ref="D59:D61"/>
    <mergeCell ref="E61:E62"/>
    <mergeCell ref="E52:E54"/>
    <mergeCell ref="F52:F54"/>
    <mergeCell ref="G123:H123"/>
    <mergeCell ref="F61:F62"/>
    <mergeCell ref="A63:F63"/>
    <mergeCell ref="E67:E76"/>
    <mergeCell ref="F67:F76"/>
    <mergeCell ref="A76:D76"/>
    <mergeCell ref="E82:E91"/>
    <mergeCell ref="A66:D66"/>
    <mergeCell ref="E64:E66"/>
    <mergeCell ref="F64:F65"/>
    <mergeCell ref="J120:K120"/>
    <mergeCell ref="F82:F91"/>
    <mergeCell ref="A91:D91"/>
    <mergeCell ref="A81:D81"/>
    <mergeCell ref="J121:K121"/>
    <mergeCell ref="E77:E81"/>
    <mergeCell ref="F77:F81"/>
    <mergeCell ref="E92:E114"/>
    <mergeCell ref="F92:F114"/>
    <mergeCell ref="A114:D114"/>
    <mergeCell ref="C108:C110"/>
    <mergeCell ref="B108:B110"/>
    <mergeCell ref="A108:A110"/>
    <mergeCell ref="C94:C95"/>
    <mergeCell ref="B94:B95"/>
    <mergeCell ref="A94:A95"/>
    <mergeCell ref="C106:C107"/>
    <mergeCell ref="B106:B107"/>
    <mergeCell ref="A106:A107"/>
  </mergeCells>
  <printOptions/>
  <pageMargins left="0.2362204724409449" right="0.1968503937007874" top="0.29" bottom="0.2755905511811024" header="0.1968503937007874" footer="0.1968503937007874"/>
  <pageSetup horizontalDpi="600" verticalDpi="600" orientation="landscape" paperSize="9" scale="62" r:id="rId1"/>
  <rowBreaks count="3" manualBreakCount="3">
    <brk id="26" max="9" man="1"/>
    <brk id="58" max="9" man="1"/>
    <brk id="9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2019-09-30T09:31:27Z</cp:lastPrinted>
  <dcterms:created xsi:type="dcterms:W3CDTF">2018-12-04T09:08:53Z</dcterms:created>
  <dcterms:modified xsi:type="dcterms:W3CDTF">2019-12-24T08:43:09Z</dcterms:modified>
  <cp:category/>
  <cp:version/>
  <cp:contentType/>
  <cp:contentStatus/>
</cp:coreProperties>
</file>