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7 (2)" sheetId="1" r:id="rId1"/>
  </sheets>
  <definedNames>
    <definedName name="_xlnm.Print_Area" localSheetId="0">'додаток 7 (2)'!$A$1:$J$120</definedName>
  </definedNames>
  <calcPr fullCalcOnLoad="1"/>
</workbook>
</file>

<file path=xl/sharedStrings.xml><?xml version="1.0" encoding="utf-8"?>
<sst xmlns="http://schemas.openxmlformats.org/spreadsheetml/2006/main" count="419" uniqueCount="285">
  <si>
    <t>(грн)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</si>
  <si>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</si>
  <si>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</si>
  <si>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</si>
  <si>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</si>
  <si>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</si>
  <si>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</si>
  <si>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</si>
  <si>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>Додаток 7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</si>
  <si>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</si>
  <si>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</si>
  <si>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02</t>
  </si>
  <si>
    <t>Виконавчий комітет Березанської міської ради</t>
  </si>
  <si>
    <t>Підтримка сімї та забезпечення прав дітей "Назустріч дітям" до 2020 року</t>
  </si>
  <si>
    <t>Програма профілактики та протидії злочинності в місті Березань на 2018-2020 роки " Безпечне місто"</t>
  </si>
  <si>
    <t xml:space="preserve">Програма поводження з твердими побутовими відходами в м.Березань на 2017-2020 роки (ліквідація стихійних сміттєзвалищ) </t>
  </si>
  <si>
    <t>Програма цивільного захисту населення і територій від надзвичайних ситуацій техногенного та природного характеру, забезпечення пожежної безпеки в м.Березань на 2018-2020 роки</t>
  </si>
  <si>
    <t>Інша діяльність у сфері державного управління</t>
  </si>
  <si>
    <t>0210180</t>
  </si>
  <si>
    <t>0180</t>
  </si>
  <si>
    <t>0133</t>
  </si>
  <si>
    <t>№ 349-36-VII від 13.07.2017</t>
  </si>
  <si>
    <t>від 03.08.2018 №546-51-VII</t>
  </si>
  <si>
    <t>№ 353-36-VII від 13.07.2017</t>
  </si>
  <si>
    <t>№ 499-47-VII від 26.04.2018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</si>
  <si>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</si>
  <si>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</si>
  <si>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</si>
  <si>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</si>
  <si>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</si>
  <si>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</si>
  <si>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</si>
  <si>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</si>
  <si>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</si>
  <si>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</si>
  <si>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</si>
  <si>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</si>
  <si>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</si>
  <si>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</si>
  <si>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</si>
  <si>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</si>
  <si>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</si>
  <si>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</si>
  <si>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</si>
  <si>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</si>
  <si>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</si>
  <si>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</si>
  <si>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</si>
  <si>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</si>
  <si>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</si>
  <si>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</si>
  <si>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</si>
  <si>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</si>
  <si>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</si>
  <si>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</si>
  <si>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</si>
  <si>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</si>
  <si>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</si>
  <si>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</si>
  <si>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</si>
  <si>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</si>
  <si>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</si>
  <si>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</si>
  <si>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</si>
  <si>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</si>
  <si>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</si>
  <si>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</si>
  <si>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</si>
  <si>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</si>
  <si>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</si>
  <si>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</si>
  <si>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Програма розвитку системи освіти міста Березань на 2018-2020 роки</t>
  </si>
  <si>
    <t>08</t>
  </si>
  <si>
    <t>Управління соціального захисту населення та праці виконавчого комітету Березанської міської ради</t>
  </si>
  <si>
    <t>0813242</t>
  </si>
  <si>
    <t>0813192</t>
  </si>
  <si>
    <t>3242</t>
  </si>
  <si>
    <t>3192</t>
  </si>
  <si>
    <t>1030</t>
  </si>
  <si>
    <t>Інші заходи у сфері соціального захисту і соціального забезпечення</t>
  </si>
  <si>
    <t>Допомога зі скрутним становищем</t>
  </si>
  <si>
    <t>Програма соціального захисту учасників АТО та членів їх сімей м.Березань на 2017-2020 роки</t>
  </si>
  <si>
    <t>Допомога військовослужбовцям</t>
  </si>
  <si>
    <t>Програма з військово - патріотичного виховання та допризовної підготовки, підготовки молоді до служби в Збройних Силах України в м.Березань на 2016 - 2020 роки</t>
  </si>
  <si>
    <t>Матеріальна допомога</t>
  </si>
  <si>
    <t>Програма "Турбота" на 2016-2020 роки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</si>
  <si>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</si>
  <si>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№ 495-47-VII від 26.04.2018</t>
  </si>
  <si>
    <t>№ 430-43-VII від 19.12.2017</t>
  </si>
  <si>
    <t>11</t>
  </si>
  <si>
    <t>Сектор молоді та спорту виконавчого комітету Березанської міської ради</t>
  </si>
  <si>
    <t>1113133</t>
  </si>
  <si>
    <t>1115011</t>
  </si>
  <si>
    <t>1115012</t>
  </si>
  <si>
    <t>3133</t>
  </si>
  <si>
    <t>5011</t>
  </si>
  <si>
    <t>5012</t>
  </si>
  <si>
    <t>Інші заходи та заклади молодіжної політики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</si>
  <si>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</si>
  <si>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</si>
  <si>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Програма національно-патріотичного виховання та допризовної підготовки, підготовки молоді до служби в Збройних Силах України в м.Березань на 2018-2021 роки</t>
  </si>
  <si>
    <t>Програма підтримки та розвитку молоді на 2015-2020 роки "Молодь Березані"</t>
  </si>
  <si>
    <t>Програма розвитку фізичної культури та спорту "Березань спортивна" на 2017-2021 роки</t>
  </si>
  <si>
    <t xml:space="preserve">№ 470-46-VII від 20.02.2018  </t>
  </si>
  <si>
    <t>№ 500-47-VII від 26.04.2018</t>
  </si>
  <si>
    <t xml:space="preserve">Комплексні програми </t>
  </si>
  <si>
    <t>Всього по програмі</t>
  </si>
  <si>
    <t>0217442</t>
  </si>
  <si>
    <t>7442</t>
  </si>
  <si>
    <t>0456</t>
  </si>
  <si>
    <t>Утримання та розвиток інших об’єктів транспортної інфраструктури</t>
  </si>
  <si>
    <t>Розподіл витрат місцевого бюджету на реалізацію місцевих/регіональних програм у 2019 році</t>
  </si>
  <si>
    <t>0490</t>
  </si>
  <si>
    <t>№ 469-52-VI від 29.06.2015</t>
  </si>
  <si>
    <t xml:space="preserve">до рішення Березанської міської ради                      </t>
  </si>
  <si>
    <t xml:space="preserve">"Про бюджет Березанської міської ради на 2019 рік" </t>
  </si>
  <si>
    <t>0813033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</si>
  <si>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</si>
  <si>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</si>
  <si>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</si>
  <si>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Програма фінансування пільгового проїзду автомобільним транспортом загального користування на 2019 рік</t>
  </si>
  <si>
    <t>№ 663-59-VII від 22.01.2019</t>
  </si>
  <si>
    <t>№ 662-59-VII від 22.01.2019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</si>
  <si>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</si>
  <si>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</si>
  <si>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</si>
  <si>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</si>
  <si>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</si>
  <si>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</si>
  <si>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</si>
  <si>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</si>
  <si>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</si>
  <si>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організації надання шефської допомоги Березанському міському військовому комісаріату на 2019 рік</t>
  </si>
  <si>
    <t>Програма організації надання шефської допомоги 5-ій стрілецькій роті другого батальйону військової частини 3066 Національної гвардії України на 2019 рік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</si>
  <si>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</si>
  <si>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</si>
  <si>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</si>
  <si>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</si>
  <si>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0218410</t>
  </si>
  <si>
    <t>8410</t>
  </si>
  <si>
    <t>0830</t>
  </si>
  <si>
    <t>Фінансова підтримка засобів масової інформації</t>
  </si>
  <si>
    <t>0810160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</si>
  <si>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</si>
  <si>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</si>
  <si>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</si>
  <si>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</si>
  <si>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1115041</t>
  </si>
  <si>
    <t>5041</t>
  </si>
  <si>
    <t>Утримання та фінансова підтримка спортивних споруд</t>
  </si>
  <si>
    <t>3710160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</si>
  <si>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</si>
  <si>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</si>
  <si>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</si>
  <si>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</si>
  <si>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Програма "Централізовані заходи з лікування хворих на цукровий діабет" на 2019 рік</t>
  </si>
  <si>
    <t>№ 676-61-VII від 31.01.2019</t>
  </si>
  <si>
    <t>0216013</t>
  </si>
  <si>
    <t>6013</t>
  </si>
  <si>
    <t>Забезпечення діяльності водопровідно-каналізаційного господарства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</si>
  <si>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</si>
  <si>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</si>
  <si>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</si>
  <si>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0212146</t>
  </si>
  <si>
    <t>2146</t>
  </si>
  <si>
    <t>Відшкодування вартості лікарських засобів для лікування окремих захворювань</t>
  </si>
  <si>
    <t>Програма "Доступні ліки" на 2019-2020 роки</t>
  </si>
  <si>
    <t>№ 674-61-VII від 31.01.2019</t>
  </si>
  <si>
    <t>0212010</t>
  </si>
  <si>
    <t>2010</t>
  </si>
  <si>
    <t>0731</t>
  </si>
  <si>
    <t>Багатопрофільна стаціонарна медична допомога населенню</t>
  </si>
  <si>
    <t xml:space="preserve">Програма "Здоров`я" </t>
  </si>
  <si>
    <t>Програма  "Висвітлення діяльності Березанської міської ради та її виконавчого комітету в ЗМІ на 2019"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</si>
  <si>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</si>
  <si>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</si>
  <si>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</si>
  <si>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</si>
  <si>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підвищення енегроефективності та зменшення споживання енергоносіїв м.Березань на 2017-2020 роки</t>
  </si>
  <si>
    <t>7640</t>
  </si>
  <si>
    <t>0470</t>
  </si>
  <si>
    <t>Заходи з енергозбереження</t>
  </si>
  <si>
    <t>6012</t>
  </si>
  <si>
    <t>6090</t>
  </si>
  <si>
    <t>0216012</t>
  </si>
  <si>
    <t>Забезпечення діяльності з виробництва, транспортування, постачання теплової енергії</t>
  </si>
  <si>
    <t>0216090</t>
  </si>
  <si>
    <t>0640</t>
  </si>
  <si>
    <t>Інша діяльність у сфері житлово-комунального господарства</t>
  </si>
  <si>
    <t>0611170</t>
  </si>
  <si>
    <t>1170</t>
  </si>
  <si>
    <t>Забезпечення діяльності інклюзивно-ресурсних центрів</t>
  </si>
  <si>
    <t>№ 670-59-VII від 22.01.2019</t>
  </si>
  <si>
    <t>Програма фінансування пільг з послуг звязку та інших передбачених законодавством пільг окремим категоріям громадян на 2019 рік</t>
  </si>
  <si>
    <t>Відділ культури та туризму виконавчого комітету Березанської міської ради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</si>
  <si>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</si>
  <si>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</si>
  <si>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</si>
  <si>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</si>
  <si>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8230</t>
  </si>
  <si>
    <t>0218230</t>
  </si>
  <si>
    <t>0380</t>
  </si>
  <si>
    <t>Інші заходи громадського порядку та безпеки</t>
  </si>
  <si>
    <t>№ 723-65-VII від 18.04.2019</t>
  </si>
  <si>
    <t xml:space="preserve">Програма організації допомоги діяльності Березанському відділенню поліції Переяслав-Хмельницького  відділу поліції  Головного управління Національної поліції в Київській області в забезпеченні охорони публічного порядку, безпеки громадян, профілактики злочинності на території міста </t>
  </si>
  <si>
    <t>Програма розвитку футболу в м. Березань на 2018-2022 роки</t>
  </si>
  <si>
    <t>Програма фінансової підтримки комунальних підприємств м.Березань на 2017-2020 роки</t>
  </si>
  <si>
    <t>1100</t>
  </si>
  <si>
    <t>Програма розвитку галузі культури і туризму в м.Березань на 2017-2020 роки</t>
  </si>
  <si>
    <t>4030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</si>
  <si>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</si>
  <si>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</si>
  <si>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</si>
  <si>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</si>
  <si>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Забезпечення діяльності бібліотек</t>
  </si>
  <si>
    <t>Підтримка діяльності Баришівського міськрайонного відділу філії державної установи «Центр пробації» у місті Києві та Київській  області  з метою забезпечення безпеки громадян шляхом виправлення засуджених  та профілактики вчинення ними повторних злочинів на  території  Березанської міської об’єднаної територіальної громади на 2019-2021 роки</t>
  </si>
  <si>
    <t>№ 745-67-VII від 16.05.2019</t>
  </si>
  <si>
    <t>№ 746-67-VII від 16.05.2019</t>
  </si>
  <si>
    <t>№ 747-67-VII від 16.05.2019</t>
  </si>
  <si>
    <t>№ 749-67-VII від 16.05.2019</t>
  </si>
  <si>
    <t>№ 751-67-VII від 16.05.2019</t>
  </si>
  <si>
    <t>Програма будівництва, реконструкції та ремонту об`єктів інфраструктури м.Березань на 2017-2020 роки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</si>
  <si>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</si>
  <si>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</si>
  <si>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</si>
  <si>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</si>
  <si>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</si>
  <si>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</si>
  <si>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3719770</t>
  </si>
  <si>
    <t>9770</t>
  </si>
  <si>
    <t xml:space="preserve">Інші субвенції з місцевого бюджету </t>
  </si>
  <si>
    <t>№ 294-30-VII від 03.03.2017</t>
  </si>
  <si>
    <t>0217640</t>
  </si>
  <si>
    <t xml:space="preserve">Програма з відзначення державних свят пам"ятних дат та заходів обласного і міського значення  на 2019 рік </t>
  </si>
  <si>
    <t>0610160</t>
  </si>
  <si>
    <t>Секретар ради</t>
  </si>
  <si>
    <t>О.В.Сивак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</si>
  <si>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</si>
  <si>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</si>
  <si>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</si>
  <si>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</si>
  <si>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 xml:space="preserve">«Питна вода міста Березань на 2018-2020 роки» </t>
  </si>
  <si>
    <r>
      <t xml:space="preserve">Програма з відзначення державних та професійних свят, ювілейних дат, заохочення за заслуги перед містом Березань, </t>
    </r>
    <r>
      <rPr>
        <i/>
        <u val="single"/>
        <sz val="11"/>
        <rFont val="Times New Roman"/>
        <family val="1"/>
      </rPr>
      <t xml:space="preserve">здійснення представницьких </t>
    </r>
    <r>
      <rPr>
        <sz val="11"/>
        <rFont val="Times New Roman"/>
        <family val="1"/>
      </rPr>
      <t xml:space="preserve">та інших заходів на 2017-2021роки </t>
    </r>
  </si>
  <si>
    <t>Програма "Протидії захворюванню на туберкульоз на 2017-2019 роки"</t>
  </si>
  <si>
    <t>0816083</t>
  </si>
  <si>
    <t>6083</t>
  </si>
  <si>
    <t>0610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</si>
  <si>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</t>
  </si>
  <si>
    <t>№ 384-39-VII від 14.09.2017</t>
  </si>
  <si>
    <t>0217368</t>
  </si>
  <si>
    <t>Виконання інвестиційних проектів за рахунок субвенцій з інших бюджетів</t>
  </si>
  <si>
    <t>0217520</t>
  </si>
  <si>
    <t>7520</t>
  </si>
  <si>
    <t>0460</t>
  </si>
  <si>
    <t>Реалізація Національної програми інформатизації</t>
  </si>
  <si>
    <t>0817520</t>
  </si>
  <si>
    <t>1117520</t>
  </si>
  <si>
    <t>3717520</t>
  </si>
  <si>
    <t>1017520</t>
  </si>
  <si>
    <t>Реалізація Національної програми інформатизації по ДНЗ</t>
  </si>
  <si>
    <t>Реалізація Національної програми інформатизації по ЗНЗ</t>
  </si>
  <si>
    <t>Реалізація Національної програми інформатизації по УСЗНП</t>
  </si>
  <si>
    <t>Реалізація Національної програми інформатизації по терцентру</t>
  </si>
  <si>
    <t>Реалізація Національної програми інформатизації по бібліотеках</t>
  </si>
  <si>
    <t>Реалізація Національної програми інформатизації по будинку культури</t>
  </si>
  <si>
    <t>Реалізація Національної програми інформатизації по школі естетичного виховання</t>
  </si>
  <si>
    <t>№ 886-78-VII від 07.11.2019</t>
  </si>
  <si>
    <t>№ 885-78-VII від 07.11.2019</t>
  </si>
  <si>
    <t>№ 884-78-VII від 07.11.2019</t>
  </si>
  <si>
    <t>№ 883-78-VII від 07.11.2019</t>
  </si>
  <si>
    <t>№ 882-78 -VII від 07.11.2019</t>
  </si>
  <si>
    <t>№352-36-VII від 13.07.2017</t>
  </si>
  <si>
    <t>від 14.11.2019  № 903-79-VII</t>
  </si>
  <si>
    <t>№ 902-79-VII від 14.11.2019</t>
  </si>
  <si>
    <t>7521</t>
  </si>
  <si>
    <t>0461</t>
  </si>
  <si>
    <t>0617521</t>
  </si>
  <si>
    <t>Програма зайнятості населення м.Березань на 2018-2020 роки</t>
  </si>
  <si>
    <t>№ 494-47-VII від 26.04.2018</t>
  </si>
  <si>
    <t>0813210</t>
  </si>
  <si>
    <t>3210</t>
  </si>
  <si>
    <t>1050</t>
  </si>
  <si>
    <t>Організація та проведення громадських робіт</t>
  </si>
  <si>
    <t>№ 857-75-VII від 26.09.2019</t>
  </si>
  <si>
    <t xml:space="preserve">фіолетовим - всі цифри провірені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</si>
</sst>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_-* #,##0.0\ _₴_-;\-* #,##0.0\ _₴_-;_-* &quot;-&quot;??\ _₴_-;_-@_-"/>
    <numFmt numFmtId="196" formatCode="_-* #,##0\ _₴_-;\-* #,##0\ _₴_-;_-* &quot;-&quot;??\ _₴_-;_-@_-"/>
  </numFmts>
  <fonts count="40">
    <font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i/>
      <u val="single"/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2"/>
      <color indexed="36"/>
      <name val="Times New Roman"/>
      <family val="1"/>
    </font>
    <font>
      <sz val="12"/>
      <color indexed="36"/>
      <name val="Times New Roman"/>
      <family val="1"/>
    </font>
    <font>
      <sz val="11"/>
      <color indexed="36"/>
      <name val="Times New Roman"/>
      <family val="1"/>
    </font>
    <font>
      <b/>
      <sz val="12"/>
      <color rgb="FF7030A0"/>
      <name val="Times New Roman"/>
      <family val="1"/>
    </font>
    <font>
      <sz val="12"/>
      <color rgb="FF7030A0"/>
      <name val="Times New Roman"/>
      <family val="1"/>
    </font>
    <font>
      <sz val="11"/>
      <color rgb="FF7030A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0">
      <alignment vertical="top"/>
      <protection/>
    </xf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7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49" fontId="23" fillId="0" borderId="0" xfId="0" applyNumberFormat="1" applyFont="1" applyAlignment="1">
      <alignment horizontal="lef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194" fontId="27" fillId="0" borderId="10" xfId="0" applyNumberFormat="1" applyFont="1" applyFill="1" applyBorder="1" applyAlignment="1">
      <alignment horizontal="center" vertical="center" wrapText="1"/>
    </xf>
    <xf numFmtId="194" fontId="27" fillId="24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194" fontId="20" fillId="0" borderId="10" xfId="48" applyNumberFormat="1" applyFont="1" applyFill="1" applyBorder="1" applyAlignment="1">
      <alignment horizontal="left" vertical="center" wrapText="1"/>
      <protection/>
    </xf>
    <xf numFmtId="0" fontId="19" fillId="0" borderId="10" xfId="0" applyFont="1" applyFill="1" applyBorder="1" applyAlignment="1">
      <alignment horizontal="left" vertical="center"/>
    </xf>
    <xf numFmtId="194" fontId="25" fillId="0" borderId="10" xfId="0" applyNumberFormat="1" applyFont="1" applyFill="1" applyBorder="1" applyAlignment="1">
      <alignment horizontal="center" vertical="center" wrapText="1"/>
    </xf>
    <xf numFmtId="194" fontId="25" fillId="0" borderId="10" xfId="0" applyNumberFormat="1" applyFont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left" vertical="center"/>
    </xf>
    <xf numFmtId="49" fontId="29" fillId="0" borderId="11" xfId="0" applyNumberFormat="1" applyFont="1" applyFill="1" applyBorder="1" applyAlignment="1">
      <alignment horizontal="center" vertical="center"/>
    </xf>
    <xf numFmtId="194" fontId="29" fillId="0" borderId="10" xfId="48" applyNumberFormat="1" applyFont="1" applyFill="1" applyBorder="1" applyAlignment="1">
      <alignment horizontal="left" vertical="center" wrapText="1"/>
      <protection/>
    </xf>
    <xf numFmtId="0" fontId="21" fillId="25" borderId="1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 quotePrefix="1">
      <alignment horizontal="left" vertical="center" wrapText="1"/>
    </xf>
    <xf numFmtId="49" fontId="20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justify" wrapText="1"/>
    </xf>
    <xf numFmtId="0" fontId="20" fillId="0" borderId="10" xfId="0" applyFont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justify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wrapText="1"/>
    </xf>
    <xf numFmtId="0" fontId="21" fillId="0" borderId="12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194" fontId="19" fillId="0" borderId="0" xfId="0" applyNumberFormat="1" applyFont="1" applyBorder="1" applyAlignment="1">
      <alignment/>
    </xf>
    <xf numFmtId="194" fontId="25" fillId="0" borderId="0" xfId="0" applyNumberFormat="1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left" wrapText="1"/>
    </xf>
    <xf numFmtId="194" fontId="27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wrapText="1"/>
    </xf>
    <xf numFmtId="194" fontId="20" fillId="0" borderId="10" xfId="0" applyNumberFormat="1" applyFont="1" applyFill="1" applyBorder="1" applyAlignment="1">
      <alignment horizontal="center" vertical="center" wrapText="1"/>
    </xf>
    <xf numFmtId="194" fontId="20" fillId="25" borderId="10" xfId="0" applyNumberFormat="1" applyFont="1" applyFill="1" applyBorder="1" applyAlignment="1">
      <alignment horizontal="center" vertical="center" wrapText="1"/>
    </xf>
    <xf numFmtId="194" fontId="29" fillId="25" borderId="10" xfId="0" applyNumberFormat="1" applyFont="1" applyFill="1" applyBorder="1" applyAlignment="1">
      <alignment horizontal="center" vertical="center" wrapText="1"/>
    </xf>
    <xf numFmtId="194" fontId="29" fillId="0" borderId="1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/>
    </xf>
    <xf numFmtId="0" fontId="29" fillId="25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194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justify" vertical="center" wrapText="1"/>
    </xf>
    <xf numFmtId="194" fontId="20" fillId="0" borderId="10" xfId="48" applyNumberFormat="1" applyFont="1" applyBorder="1" applyAlignment="1">
      <alignment horizontal="left" vertical="center" wrapText="1"/>
      <protection/>
    </xf>
    <xf numFmtId="0" fontId="27" fillId="24" borderId="10" xfId="0" applyFont="1" applyFill="1" applyBorder="1" applyAlignment="1">
      <alignment vertical="center"/>
    </xf>
    <xf numFmtId="0" fontId="25" fillId="0" borderId="10" xfId="0" applyFont="1" applyBorder="1" applyAlignment="1">
      <alignment wrapText="1"/>
    </xf>
    <xf numFmtId="194" fontId="20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0" fontId="20" fillId="0" borderId="11" xfId="0" applyFont="1" applyBorder="1" applyAlignment="1">
      <alignment horizontal="justify" wrapText="1"/>
    </xf>
    <xf numFmtId="0" fontId="20" fillId="0" borderId="0" xfId="0" applyFont="1" applyAlignment="1">
      <alignment wrapText="1"/>
    </xf>
    <xf numFmtId="0" fontId="19" fillId="0" borderId="13" xfId="0" applyFont="1" applyFill="1" applyBorder="1" applyAlignment="1">
      <alignment horizontal="left" vertical="center"/>
    </xf>
    <xf numFmtId="0" fontId="25" fillId="0" borderId="10" xfId="0" applyFont="1" applyFill="1" applyBorder="1" applyAlignment="1" quotePrefix="1">
      <alignment horizontal="left" vertical="center" wrapText="1"/>
    </xf>
    <xf numFmtId="0" fontId="20" fillId="0" borderId="0" xfId="0" applyFont="1" applyFill="1" applyAlignment="1">
      <alignment/>
    </xf>
    <xf numFmtId="194" fontId="19" fillId="25" borderId="0" xfId="0" applyNumberFormat="1" applyFont="1" applyFill="1" applyAlignment="1">
      <alignment/>
    </xf>
    <xf numFmtId="0" fontId="19" fillId="25" borderId="0" xfId="0" applyFont="1" applyFill="1" applyAlignment="1">
      <alignment/>
    </xf>
    <xf numFmtId="0" fontId="25" fillId="0" borderId="10" xfId="0" applyFont="1" applyBorder="1" applyAlignment="1">
      <alignment horizontal="justify" wrapText="1"/>
    </xf>
    <xf numFmtId="0" fontId="20" fillId="0" borderId="11" xfId="0" applyFont="1" applyBorder="1" applyAlignment="1">
      <alignment wrapText="1"/>
    </xf>
    <xf numFmtId="0" fontId="20" fillId="0" borderId="10" xfId="0" applyFont="1" applyBorder="1" applyAlignment="1">
      <alignment horizontal="center" vertical="center"/>
    </xf>
    <xf numFmtId="49" fontId="25" fillId="0" borderId="11" xfId="0" applyNumberFormat="1" applyFont="1" applyFill="1" applyBorder="1" applyAlignment="1">
      <alignment vertical="center"/>
    </xf>
    <xf numFmtId="194" fontId="29" fillId="0" borderId="10" xfId="0" applyNumberFormat="1" applyFont="1" applyBorder="1" applyAlignment="1">
      <alignment horizontal="center" vertical="center" wrapText="1"/>
    </xf>
    <xf numFmtId="194" fontId="19" fillId="0" borderId="0" xfId="0" applyNumberFormat="1" applyFont="1" applyAlignment="1">
      <alignment/>
    </xf>
    <xf numFmtId="0" fontId="20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vertical="top" wrapText="1"/>
    </xf>
    <xf numFmtId="0" fontId="25" fillId="0" borderId="0" xfId="0" applyFont="1" applyBorder="1" applyAlignment="1">
      <alignment horizontal="center" vertical="center" wrapText="1"/>
    </xf>
    <xf numFmtId="49" fontId="30" fillId="0" borderId="0" xfId="0" applyNumberFormat="1" applyFont="1" applyAlignment="1">
      <alignment/>
    </xf>
    <xf numFmtId="0" fontId="31" fillId="0" borderId="0" xfId="0" applyFont="1" applyAlignment="1">
      <alignment horizontal="left"/>
    </xf>
    <xf numFmtId="0" fontId="32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Alignment="1">
      <alignment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71" fontId="19" fillId="0" borderId="0" xfId="0" applyNumberFormat="1" applyFont="1" applyFill="1" applyAlignment="1">
      <alignment horizontal="center" vertical="center"/>
    </xf>
    <xf numFmtId="196" fontId="25" fillId="0" borderId="0" xfId="0" applyNumberFormat="1" applyFont="1" applyAlignment="1">
      <alignment horizontal="center" vertical="center"/>
    </xf>
    <xf numFmtId="171" fontId="25" fillId="0" borderId="0" xfId="0" applyNumberFormat="1" applyFont="1" applyAlignment="1">
      <alignment horizontal="center" vertical="center"/>
    </xf>
    <xf numFmtId="171" fontId="19" fillId="0" borderId="0" xfId="0" applyNumberFormat="1" applyFont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left" vertical="center"/>
    </xf>
    <xf numFmtId="194" fontId="20" fillId="0" borderId="12" xfId="48" applyNumberFormat="1" applyFont="1" applyFill="1" applyBorder="1" applyAlignment="1">
      <alignment horizontal="left" vertical="center" wrapText="1"/>
      <protection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left" vertical="center" wrapText="1"/>
    </xf>
    <xf numFmtId="0" fontId="33" fillId="0" borderId="10" xfId="0" applyFont="1" applyBorder="1" applyAlignment="1">
      <alignment horizontal="justify" wrapText="1"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49" fontId="25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 quotePrefix="1">
      <alignment horizontal="center" vertical="center"/>
    </xf>
    <xf numFmtId="49" fontId="25" fillId="0" borderId="14" xfId="0" applyNumberFormat="1" applyFont="1" applyFill="1" applyBorder="1" applyAlignment="1">
      <alignment vertical="center" wrapText="1"/>
    </xf>
    <xf numFmtId="49" fontId="30" fillId="0" borderId="0" xfId="0" applyNumberFormat="1" applyFont="1" applyFill="1" applyAlignment="1">
      <alignment/>
    </xf>
    <xf numFmtId="0" fontId="19" fillId="0" borderId="14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vertical="center" wrapText="1"/>
    </xf>
    <xf numFmtId="194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194" fontId="39" fillId="0" borderId="10" xfId="0" applyNumberFormat="1" applyFont="1" applyBorder="1" applyAlignment="1">
      <alignment horizontal="center" vertical="center" wrapText="1"/>
    </xf>
    <xf numFmtId="194" fontId="38" fillId="0" borderId="10" xfId="0" applyNumberFormat="1" applyFont="1" applyBorder="1" applyAlignment="1">
      <alignment horizontal="center" vertical="center" wrapText="1"/>
    </xf>
    <xf numFmtId="194" fontId="38" fillId="0" borderId="10" xfId="0" applyNumberFormat="1" applyFont="1" applyFill="1" applyBorder="1" applyAlignment="1">
      <alignment horizontal="center" vertical="center"/>
    </xf>
    <xf numFmtId="194" fontId="38" fillId="0" borderId="10" xfId="0" applyNumberFormat="1" applyFont="1" applyFill="1" applyBorder="1" applyAlignment="1">
      <alignment horizontal="center" vertical="center" wrapText="1"/>
    </xf>
    <xf numFmtId="0" fontId="19" fillId="27" borderId="0" xfId="0" applyFont="1" applyFill="1" applyAlignment="1">
      <alignment/>
    </xf>
    <xf numFmtId="0" fontId="39" fillId="0" borderId="10" xfId="0" applyFont="1" applyFill="1" applyBorder="1" applyAlignment="1">
      <alignment horizontal="center" vertical="center"/>
    </xf>
    <xf numFmtId="194" fontId="39" fillId="25" borderId="10" xfId="0" applyNumberFormat="1" applyFont="1" applyFill="1" applyBorder="1" applyAlignment="1">
      <alignment horizontal="center" vertical="center" wrapText="1"/>
    </xf>
    <xf numFmtId="0" fontId="20" fillId="27" borderId="0" xfId="0" applyFont="1" applyFill="1" applyAlignment="1">
      <alignment/>
    </xf>
    <xf numFmtId="194" fontId="39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194" fontId="25" fillId="0" borderId="0" xfId="0" applyNumberFormat="1" applyFont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/>
    </xf>
    <xf numFmtId="49" fontId="25" fillId="0" borderId="14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187" fontId="25" fillId="0" borderId="0" xfId="59" applyFont="1" applyBorder="1" applyAlignment="1">
      <alignment/>
    </xf>
    <xf numFmtId="0" fontId="0" fillId="0" borderId="0" xfId="0" applyFont="1" applyBorder="1" applyAlignment="1">
      <alignment/>
    </xf>
    <xf numFmtId="0" fontId="19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49" fontId="29" fillId="0" borderId="11" xfId="0" applyNumberFormat="1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9" fillId="0" borderId="12" xfId="0" applyFont="1" applyFill="1" applyBorder="1" applyAlignment="1">
      <alignment horizontal="left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7" fontId="25" fillId="0" borderId="0" xfId="59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49" fontId="27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/>
    </xf>
    <xf numFmtId="0" fontId="19" fillId="0" borderId="10" xfId="0" applyFont="1" applyBorder="1" applyAlignment="1">
      <alignment/>
    </xf>
    <xf numFmtId="0" fontId="20" fillId="28" borderId="12" xfId="0" applyFont="1" applyFill="1" applyBorder="1" applyAlignment="1">
      <alignment horizontal="left" vertical="center" wrapText="1"/>
    </xf>
    <xf numFmtId="0" fontId="0" fillId="28" borderId="13" xfId="0" applyFont="1" applyFill="1" applyBorder="1" applyAlignment="1">
      <alignment horizontal="left"/>
    </xf>
    <xf numFmtId="0" fontId="0" fillId="28" borderId="14" xfId="0" applyFont="1" applyFill="1" applyBorder="1" applyAlignment="1">
      <alignment horizontal="left"/>
    </xf>
    <xf numFmtId="0" fontId="19" fillId="25" borderId="12" xfId="0" applyFont="1" applyFill="1" applyBorder="1" applyAlignment="1">
      <alignment horizontal="center" vertical="center"/>
    </xf>
    <xf numFmtId="0" fontId="20" fillId="29" borderId="12" xfId="0" applyFont="1" applyFill="1" applyBorder="1" applyAlignment="1">
      <alignment horizontal="left" vertical="top" wrapText="1"/>
    </xf>
    <xf numFmtId="0" fontId="19" fillId="29" borderId="13" xfId="0" applyFont="1" applyFill="1" applyBorder="1" applyAlignment="1">
      <alignment horizontal="left" vertical="top"/>
    </xf>
    <xf numFmtId="0" fontId="0" fillId="29" borderId="14" xfId="0" applyFont="1" applyFill="1" applyBorder="1" applyAlignment="1">
      <alignment horizontal="left" vertical="top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0" fontId="27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49" fontId="25" fillId="24" borderId="10" xfId="0" applyNumberFormat="1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194" fontId="20" fillId="0" borderId="12" xfId="48" applyNumberFormat="1" applyFont="1" applyBorder="1" applyAlignment="1">
      <alignment horizontal="left" wrapText="1"/>
      <protection/>
    </xf>
    <xf numFmtId="194" fontId="20" fillId="0" borderId="14" xfId="48" applyNumberFormat="1" applyFont="1" applyBorder="1" applyAlignment="1">
      <alignment horizontal="left" wrapText="1"/>
      <protection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center" vertical="justify"/>
    </xf>
    <xf numFmtId="0" fontId="19" fillId="0" borderId="10" xfId="0" applyFont="1" applyFill="1" applyBorder="1" applyAlignment="1">
      <alignment horizontal="center" vertical="justify"/>
    </xf>
    <xf numFmtId="0" fontId="19" fillId="0" borderId="10" xfId="0" applyFont="1" applyFill="1" applyBorder="1" applyAlignment="1">
      <alignment vertical="center" wrapText="1"/>
    </xf>
    <xf numFmtId="194" fontId="20" fillId="0" borderId="17" xfId="48" applyNumberFormat="1" applyFont="1" applyBorder="1" applyAlignment="1">
      <alignment horizontal="left" vertical="center" wrapText="1"/>
      <protection/>
    </xf>
    <xf numFmtId="0" fontId="19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0" fontId="19" fillId="0" borderId="13" xfId="0" applyFont="1" applyBorder="1" applyAlignment="1">
      <alignment horizontal="left" vertical="center"/>
    </xf>
    <xf numFmtId="49" fontId="27" fillId="24" borderId="10" xfId="0" applyNumberFormat="1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19" fillId="25" borderId="12" xfId="0" applyFont="1" applyFill="1" applyBorder="1" applyAlignment="1">
      <alignment horizontal="left" vertical="center"/>
    </xf>
    <xf numFmtId="0" fontId="19" fillId="25" borderId="13" xfId="0" applyFont="1" applyFill="1" applyBorder="1" applyAlignment="1">
      <alignment horizontal="left" vertical="center"/>
    </xf>
    <xf numFmtId="0" fontId="22" fillId="0" borderId="16" xfId="0" applyFont="1" applyBorder="1" applyAlignment="1">
      <alignment horizontal="center"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5" fillId="0" borderId="12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19" fillId="25" borderId="14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27" fillId="24" borderId="10" xfId="0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 quotePrefix="1">
      <alignment horizontal="left" vertical="center" wrapText="1"/>
    </xf>
    <xf numFmtId="0" fontId="0" fillId="0" borderId="10" xfId="0" applyBorder="1" applyAlignment="1">
      <alignment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49" fontId="24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view="pageBreakPreview" zoomScale="83" zoomScaleSheetLayoutView="83" workbookViewId="0" topLeftCell="C1">
      <selection activeCell="H124" sqref="H124"/>
    </sheetView>
  </sheetViews>
  <sheetFormatPr defaultColWidth="9.00390625" defaultRowHeight="12.75"/>
  <cols>
    <col min="1" max="1" width="9.75390625" style="101" customWidth="1"/>
    <col min="2" max="2" width="9.875" style="1" customWidth="1"/>
    <col min="3" max="3" width="9.375" style="1" customWidth="1"/>
    <col min="4" max="4" width="55.375" style="2" customWidth="1"/>
    <col min="5" max="5" width="52.75390625" style="3" customWidth="1"/>
    <col min="6" max="6" width="25.00390625" style="3" customWidth="1"/>
    <col min="7" max="7" width="19.125" style="7" customWidth="1"/>
    <col min="8" max="8" width="20.625" style="4" customWidth="1"/>
    <col min="9" max="9" width="14.25390625" style="4" customWidth="1"/>
    <col min="10" max="10" width="16.875" style="7" customWidth="1"/>
    <col min="11" max="11" width="13.125" style="3" customWidth="1"/>
    <col min="12" max="12" width="14.125" style="3" customWidth="1"/>
    <col min="13" max="16384" width="9.125" style="3" customWidth="1"/>
  </cols>
  <sheetData>
    <row r="1" spans="7:10" ht="15">
      <c r="G1" s="230" t="s">
        <v>8</v>
      </c>
      <c r="H1" s="231"/>
      <c r="I1" s="231"/>
      <c r="J1" s="231"/>
    </row>
    <row r="2" spans="7:11" ht="14.25" customHeight="1">
      <c r="G2" s="232" t="s">
        <v>114</v>
      </c>
      <c r="H2" s="231"/>
      <c r="I2" s="231"/>
      <c r="J2" s="231"/>
      <c r="K2" s="5"/>
    </row>
    <row r="3" spans="7:11" ht="15" customHeight="1">
      <c r="G3" s="232" t="s">
        <v>115</v>
      </c>
      <c r="H3" s="231"/>
      <c r="I3" s="231"/>
      <c r="J3" s="231"/>
      <c r="K3" s="6"/>
    </row>
    <row r="4" spans="7:11" ht="15">
      <c r="G4" s="233" t="s">
        <v>272</v>
      </c>
      <c r="H4" s="234"/>
      <c r="I4" s="234"/>
      <c r="J4" s="234"/>
      <c r="K4" s="5"/>
    </row>
    <row r="5" ht="15">
      <c r="H5" s="8"/>
    </row>
    <row r="6" ht="20.25">
      <c r="C6" s="9" t="s">
        <v>111</v>
      </c>
    </row>
    <row r="7" spans="1:10" ht="15">
      <c r="A7" s="102"/>
      <c r="J7" s="7" t="s">
        <v>0</v>
      </c>
    </row>
    <row r="8" spans="1:10" ht="62.25" customHeight="1">
      <c r="A8" s="225" t="s">
        <v>237</v>
      </c>
      <c r="B8" s="226" t="s">
        <v>238</v>
      </c>
      <c r="C8" s="226" t="s">
        <v>239</v>
      </c>
      <c r="D8" s="227" t="s">
        <v>240</v>
      </c>
      <c r="E8" s="229" t="s">
        <v>9</v>
      </c>
      <c r="F8" s="229" t="s">
        <v>10</v>
      </c>
      <c r="G8" s="235" t="s">
        <v>1</v>
      </c>
      <c r="H8" s="229" t="s">
        <v>2</v>
      </c>
      <c r="I8" s="229" t="s">
        <v>3</v>
      </c>
      <c r="J8" s="223"/>
    </row>
    <row r="9" spans="1:10" ht="33" customHeight="1">
      <c r="A9" s="225"/>
      <c r="B9" s="226"/>
      <c r="C9" s="226"/>
      <c r="D9" s="228"/>
      <c r="E9" s="223"/>
      <c r="F9" s="223"/>
      <c r="G9" s="236"/>
      <c r="H9" s="223"/>
      <c r="I9" s="10" t="s">
        <v>4</v>
      </c>
      <c r="J9" s="12" t="s">
        <v>5</v>
      </c>
    </row>
    <row r="10" spans="1:10" ht="15.75">
      <c r="A10" s="103">
        <v>1</v>
      </c>
      <c r="B10" s="13">
        <v>2</v>
      </c>
      <c r="C10" s="13">
        <v>3</v>
      </c>
      <c r="D10" s="14">
        <v>4</v>
      </c>
      <c r="E10" s="15">
        <v>5</v>
      </c>
      <c r="F10" s="15">
        <v>6</v>
      </c>
      <c r="G10" s="11">
        <v>7</v>
      </c>
      <c r="H10" s="10">
        <v>8</v>
      </c>
      <c r="I10" s="10">
        <v>9</v>
      </c>
      <c r="J10" s="11">
        <v>10</v>
      </c>
    </row>
    <row r="11" spans="1:10" ht="15.75" customHeight="1">
      <c r="A11" s="176" t="s">
        <v>11</v>
      </c>
      <c r="B11" s="176"/>
      <c r="C11" s="176"/>
      <c r="D11" s="177" t="s">
        <v>12</v>
      </c>
      <c r="E11" s="177"/>
      <c r="F11" s="178"/>
      <c r="G11" s="16">
        <f>H11+I11</f>
        <v>4352408</v>
      </c>
      <c r="H11" s="17">
        <f>H16+H17+H18+H19+H20+H21+H22+H23+H24+H25+H26+H27</f>
        <v>3170472</v>
      </c>
      <c r="I11" s="17">
        <f>I16+I17+I18+I19+I20+I21+I22+I23+I24+I25+I26+I27</f>
        <v>1181936</v>
      </c>
      <c r="J11" s="17">
        <f>J16+J17+J18+J19+J20+J21+J22+J23+J24+J25+J26+J27</f>
        <v>1181936</v>
      </c>
    </row>
    <row r="12" spans="1:10" ht="60">
      <c r="A12" s="219" t="s">
        <v>18</v>
      </c>
      <c r="B12" s="222" t="s">
        <v>19</v>
      </c>
      <c r="C12" s="222" t="s">
        <v>20</v>
      </c>
      <c r="D12" s="224" t="s">
        <v>17</v>
      </c>
      <c r="E12" s="19" t="s">
        <v>242</v>
      </c>
      <c r="F12" s="20" t="s">
        <v>21</v>
      </c>
      <c r="G12" s="21">
        <f>H12+I12</f>
        <v>90000</v>
      </c>
      <c r="H12" s="112">
        <f>110000-20000</f>
        <v>90000</v>
      </c>
      <c r="I12" s="22"/>
      <c r="J12" s="21"/>
    </row>
    <row r="13" spans="1:10" ht="93.75" customHeight="1">
      <c r="A13" s="220"/>
      <c r="B13" s="222"/>
      <c r="C13" s="222"/>
      <c r="D13" s="224"/>
      <c r="E13" s="19" t="s">
        <v>215</v>
      </c>
      <c r="F13" s="20" t="s">
        <v>216</v>
      </c>
      <c r="G13" s="21">
        <f>H13+I13</f>
        <v>15000</v>
      </c>
      <c r="H13" s="22"/>
      <c r="I13" s="112">
        <v>15000</v>
      </c>
      <c r="J13" s="21">
        <v>15000</v>
      </c>
    </row>
    <row r="14" spans="1:10" ht="45">
      <c r="A14" s="220"/>
      <c r="B14" s="222"/>
      <c r="C14" s="223"/>
      <c r="D14" s="224"/>
      <c r="E14" s="19" t="s">
        <v>132</v>
      </c>
      <c r="F14" s="23" t="s">
        <v>218</v>
      </c>
      <c r="G14" s="21">
        <f aca="true" t="shared" si="0" ref="G14:G27">H14+I14</f>
        <v>112810</v>
      </c>
      <c r="H14" s="112">
        <f>40000+72810</f>
        <v>112810</v>
      </c>
      <c r="I14" s="22"/>
      <c r="J14" s="21"/>
    </row>
    <row r="15" spans="1:10" ht="45">
      <c r="A15" s="221"/>
      <c r="B15" s="222"/>
      <c r="C15" s="223"/>
      <c r="D15" s="224"/>
      <c r="E15" s="19" t="s">
        <v>133</v>
      </c>
      <c r="F15" s="23" t="s">
        <v>217</v>
      </c>
      <c r="G15" s="21">
        <f t="shared" si="0"/>
        <v>2162293</v>
      </c>
      <c r="H15" s="112">
        <f>200000+159100+315000+28481+113000+119349+60427</f>
        <v>995357</v>
      </c>
      <c r="I15" s="112">
        <f>199900+194671+137541+117000+120651+397173</f>
        <v>1166936</v>
      </c>
      <c r="J15" s="21">
        <f>I15</f>
        <v>1166936</v>
      </c>
    </row>
    <row r="16" spans="1:10" s="27" customFormat="1" ht="15.75">
      <c r="A16" s="140" t="s">
        <v>106</v>
      </c>
      <c r="B16" s="208"/>
      <c r="C16" s="208"/>
      <c r="D16" s="209"/>
      <c r="E16" s="25"/>
      <c r="F16" s="26"/>
      <c r="G16" s="16">
        <f>G12+G13+G14+G15</f>
        <v>2380103</v>
      </c>
      <c r="H16" s="16">
        <f>H12+H13+H14+H15</f>
        <v>1198167</v>
      </c>
      <c r="I16" s="16">
        <f>I12+I13+I14+I15</f>
        <v>1181936</v>
      </c>
      <c r="J16" s="16">
        <f>J12+J13+J14+J15</f>
        <v>1181936</v>
      </c>
    </row>
    <row r="17" spans="1:10" s="27" customFormat="1" ht="30">
      <c r="A17" s="24"/>
      <c r="B17" s="179" t="s">
        <v>169</v>
      </c>
      <c r="C17" s="179" t="s">
        <v>170</v>
      </c>
      <c r="D17" s="217" t="s">
        <v>171</v>
      </c>
      <c r="E17" s="96" t="s">
        <v>243</v>
      </c>
      <c r="F17" s="95" t="s">
        <v>248</v>
      </c>
      <c r="G17" s="21">
        <f t="shared" si="0"/>
        <v>29500</v>
      </c>
      <c r="H17" s="114">
        <v>29500</v>
      </c>
      <c r="I17" s="16"/>
      <c r="J17" s="16"/>
    </row>
    <row r="18" spans="1:10" ht="19.5" customHeight="1">
      <c r="A18" s="94" t="s">
        <v>168</v>
      </c>
      <c r="B18" s="218"/>
      <c r="C18" s="218"/>
      <c r="D18" s="218"/>
      <c r="E18" s="210" t="s">
        <v>172</v>
      </c>
      <c r="F18" s="204" t="s">
        <v>267</v>
      </c>
      <c r="G18" s="21">
        <f t="shared" si="0"/>
        <v>95500</v>
      </c>
      <c r="H18" s="114">
        <f>35000+50000+10500</f>
        <v>95500</v>
      </c>
      <c r="I18" s="22"/>
      <c r="J18" s="21"/>
    </row>
    <row r="19" spans="1:10" ht="19.5" customHeight="1">
      <c r="A19" s="30" t="s">
        <v>174</v>
      </c>
      <c r="B19" s="28" t="s">
        <v>175</v>
      </c>
      <c r="C19" s="28" t="s">
        <v>176</v>
      </c>
      <c r="D19" s="31" t="s">
        <v>177</v>
      </c>
      <c r="E19" s="211"/>
      <c r="F19" s="212"/>
      <c r="G19" s="21">
        <f t="shared" si="0"/>
        <v>75000</v>
      </c>
      <c r="H19" s="114">
        <v>75000</v>
      </c>
      <c r="I19" s="22"/>
      <c r="J19" s="21"/>
    </row>
    <row r="20" spans="1:10" ht="30">
      <c r="A20" s="32" t="s">
        <v>151</v>
      </c>
      <c r="B20" s="32" t="s">
        <v>152</v>
      </c>
      <c r="C20" s="32" t="s">
        <v>153</v>
      </c>
      <c r="D20" s="33" t="s">
        <v>154</v>
      </c>
      <c r="E20" s="34" t="s">
        <v>155</v>
      </c>
      <c r="F20" s="23" t="s">
        <v>156</v>
      </c>
      <c r="G20" s="21">
        <f t="shared" si="0"/>
        <v>420100</v>
      </c>
      <c r="H20" s="112">
        <f>380100+40000</f>
        <v>420100</v>
      </c>
      <c r="I20" s="22"/>
      <c r="J20" s="21"/>
    </row>
    <row r="21" spans="1:10" ht="30">
      <c r="A21" s="28" t="s">
        <v>163</v>
      </c>
      <c r="B21" s="28" t="s">
        <v>164</v>
      </c>
      <c r="C21" s="28" t="s">
        <v>153</v>
      </c>
      <c r="D21" s="35" t="s">
        <v>165</v>
      </c>
      <c r="E21" s="31" t="s">
        <v>166</v>
      </c>
      <c r="F21" s="23" t="s">
        <v>167</v>
      </c>
      <c r="G21" s="21">
        <f t="shared" si="0"/>
        <v>90300</v>
      </c>
      <c r="H21" s="112">
        <v>90300</v>
      </c>
      <c r="I21" s="22"/>
      <c r="J21" s="21"/>
    </row>
    <row r="22" spans="1:10" ht="30" customHeight="1">
      <c r="A22" s="103" t="s">
        <v>30</v>
      </c>
      <c r="B22" s="13" t="s">
        <v>31</v>
      </c>
      <c r="C22" s="13" t="s">
        <v>32</v>
      </c>
      <c r="D22" s="29" t="s">
        <v>25</v>
      </c>
      <c r="E22" s="213" t="s">
        <v>13</v>
      </c>
      <c r="F22" s="214" t="s">
        <v>219</v>
      </c>
      <c r="G22" s="21">
        <f t="shared" si="0"/>
        <v>120000</v>
      </c>
      <c r="H22" s="112">
        <v>120000</v>
      </c>
      <c r="I22" s="22"/>
      <c r="J22" s="21"/>
    </row>
    <row r="23" spans="1:10" ht="60" customHeight="1">
      <c r="A23" s="103" t="s">
        <v>33</v>
      </c>
      <c r="B23" s="13" t="s">
        <v>34</v>
      </c>
      <c r="C23" s="13" t="s">
        <v>32</v>
      </c>
      <c r="D23" s="35" t="s">
        <v>26</v>
      </c>
      <c r="E23" s="213"/>
      <c r="F23" s="214"/>
      <c r="G23" s="21">
        <f t="shared" si="0"/>
        <v>400000</v>
      </c>
      <c r="H23" s="112">
        <f>400000</f>
        <v>400000</v>
      </c>
      <c r="I23" s="22"/>
      <c r="J23" s="21"/>
    </row>
    <row r="24" spans="1:10" ht="45" customHeight="1">
      <c r="A24" s="103" t="s">
        <v>35</v>
      </c>
      <c r="B24" s="13" t="s">
        <v>36</v>
      </c>
      <c r="C24" s="13" t="s">
        <v>37</v>
      </c>
      <c r="D24" s="35" t="s">
        <v>27</v>
      </c>
      <c r="E24" s="31" t="s">
        <v>14</v>
      </c>
      <c r="F24" s="20" t="s">
        <v>22</v>
      </c>
      <c r="G24" s="21">
        <f t="shared" si="0"/>
        <v>400000</v>
      </c>
      <c r="H24" s="114">
        <f>400000</f>
        <v>400000</v>
      </c>
      <c r="I24" s="22"/>
      <c r="J24" s="21">
        <f>I24</f>
        <v>0</v>
      </c>
    </row>
    <row r="25" spans="1:10" ht="46.5" customHeight="1">
      <c r="A25" s="103" t="s">
        <v>38</v>
      </c>
      <c r="B25" s="13" t="s">
        <v>39</v>
      </c>
      <c r="C25" s="13" t="s">
        <v>37</v>
      </c>
      <c r="D25" s="18" t="s">
        <v>28</v>
      </c>
      <c r="E25" s="31" t="s">
        <v>15</v>
      </c>
      <c r="F25" s="20" t="s">
        <v>23</v>
      </c>
      <c r="G25" s="21">
        <f t="shared" si="0"/>
        <v>169000</v>
      </c>
      <c r="H25" s="114">
        <v>169000</v>
      </c>
      <c r="I25" s="22"/>
      <c r="J25" s="21"/>
    </row>
    <row r="26" spans="1:10" ht="60">
      <c r="A26" s="103" t="s">
        <v>40</v>
      </c>
      <c r="B26" s="13" t="s">
        <v>41</v>
      </c>
      <c r="C26" s="13" t="s">
        <v>42</v>
      </c>
      <c r="D26" s="36" t="s">
        <v>29</v>
      </c>
      <c r="E26" s="31" t="s">
        <v>16</v>
      </c>
      <c r="F26" s="20" t="s">
        <v>24</v>
      </c>
      <c r="G26" s="21">
        <f t="shared" si="0"/>
        <v>72905</v>
      </c>
      <c r="H26" s="114">
        <f>442000-319095-50000</f>
        <v>72905</v>
      </c>
      <c r="I26" s="22"/>
      <c r="J26" s="21"/>
    </row>
    <row r="27" spans="1:10" ht="90">
      <c r="A27" s="37" t="s">
        <v>200</v>
      </c>
      <c r="B27" s="32" t="s">
        <v>199</v>
      </c>
      <c r="C27" s="32" t="s">
        <v>201</v>
      </c>
      <c r="D27" s="38" t="s">
        <v>202</v>
      </c>
      <c r="E27" s="39" t="s">
        <v>204</v>
      </c>
      <c r="F27" s="23" t="s">
        <v>203</v>
      </c>
      <c r="G27" s="21">
        <f t="shared" si="0"/>
        <v>100000</v>
      </c>
      <c r="H27" s="114">
        <f>80000+20000</f>
        <v>100000</v>
      </c>
      <c r="I27" s="22"/>
      <c r="J27" s="21"/>
    </row>
    <row r="28" spans="1:10" ht="15.75">
      <c r="A28" s="176" t="s">
        <v>44</v>
      </c>
      <c r="B28" s="176"/>
      <c r="C28" s="176"/>
      <c r="D28" s="215" t="s">
        <v>43</v>
      </c>
      <c r="E28" s="215"/>
      <c r="F28" s="216"/>
      <c r="G28" s="16">
        <f>H28+I28</f>
        <v>73250573.49000001</v>
      </c>
      <c r="H28" s="17">
        <f>H38</f>
        <v>71730991.49000001</v>
      </c>
      <c r="I28" s="17">
        <f>I38</f>
        <v>1519582</v>
      </c>
      <c r="J28" s="16">
        <f>J38</f>
        <v>1519582</v>
      </c>
    </row>
    <row r="29" spans="1:10" s="42" customFormat="1" ht="47.25">
      <c r="A29" s="37" t="s">
        <v>234</v>
      </c>
      <c r="B29" s="32" t="s">
        <v>135</v>
      </c>
      <c r="C29" s="32" t="s">
        <v>136</v>
      </c>
      <c r="D29" s="40" t="s">
        <v>137</v>
      </c>
      <c r="E29" s="207" t="s">
        <v>71</v>
      </c>
      <c r="F29" s="41"/>
      <c r="G29" s="21">
        <f aca="true" t="shared" si="1" ref="G29:G37">H29+I29</f>
        <v>6200</v>
      </c>
      <c r="H29" s="16"/>
      <c r="I29" s="114">
        <v>6200</v>
      </c>
      <c r="J29" s="21">
        <f>I29</f>
        <v>6200</v>
      </c>
    </row>
    <row r="30" spans="1:12" ht="15.75" customHeight="1">
      <c r="A30" s="28" t="s">
        <v>45</v>
      </c>
      <c r="B30" s="28" t="s">
        <v>52</v>
      </c>
      <c r="C30" s="28" t="s">
        <v>59</v>
      </c>
      <c r="D30" s="34" t="s">
        <v>64</v>
      </c>
      <c r="E30" s="149"/>
      <c r="F30" s="148" t="s">
        <v>220</v>
      </c>
      <c r="G30" s="21">
        <f t="shared" si="1"/>
        <v>15582602.62</v>
      </c>
      <c r="H30" s="110">
        <f>14237000+1464000-72185.38-370000+29200+21060+144300+27489-(27489+3000)+318000-197260</f>
        <v>15571114.62</v>
      </c>
      <c r="I30" s="113">
        <f>11488</f>
        <v>11488</v>
      </c>
      <c r="J30" s="21">
        <f>I30</f>
        <v>11488</v>
      </c>
      <c r="L30" s="43"/>
    </row>
    <row r="31" spans="1:12" ht="60" customHeight="1">
      <c r="A31" s="28" t="s">
        <v>46</v>
      </c>
      <c r="B31" s="28" t="s">
        <v>53</v>
      </c>
      <c r="C31" s="28" t="s">
        <v>60</v>
      </c>
      <c r="D31" s="34" t="s">
        <v>65</v>
      </c>
      <c r="E31" s="149"/>
      <c r="F31" s="200"/>
      <c r="G31" s="21">
        <f t="shared" si="1"/>
        <v>52023393.870000005</v>
      </c>
      <c r="H31" s="110">
        <f>13883000+31301300+2504885-1464000+199800-372511.76-233077.37-17000+430000+61+84672+42000+200000+210000-147101-(172899+37000)+91089+604000+417835+3046880</f>
        <v>50571932.870000005</v>
      </c>
      <c r="I31" s="113">
        <f>1451461</f>
        <v>1451461</v>
      </c>
      <c r="J31" s="21">
        <f>I31</f>
        <v>1451461</v>
      </c>
      <c r="L31" s="44"/>
    </row>
    <row r="32" spans="1:10" ht="30" customHeight="1">
      <c r="A32" s="28" t="s">
        <v>47</v>
      </c>
      <c r="B32" s="28" t="s">
        <v>54</v>
      </c>
      <c r="C32" s="28" t="s">
        <v>61</v>
      </c>
      <c r="D32" s="34" t="s">
        <v>66</v>
      </c>
      <c r="E32" s="149"/>
      <c r="F32" s="200"/>
      <c r="G32" s="21">
        <f t="shared" si="1"/>
        <v>868200</v>
      </c>
      <c r="H32" s="110">
        <f>842000+10000+16200</f>
        <v>868200</v>
      </c>
      <c r="I32" s="21"/>
      <c r="J32" s="21"/>
    </row>
    <row r="33" spans="1:10" ht="15.75" customHeight="1">
      <c r="A33" s="28" t="s">
        <v>48</v>
      </c>
      <c r="B33" s="28" t="s">
        <v>55</v>
      </c>
      <c r="C33" s="28" t="s">
        <v>62</v>
      </c>
      <c r="D33" s="35" t="s">
        <v>67</v>
      </c>
      <c r="E33" s="149"/>
      <c r="F33" s="200"/>
      <c r="G33" s="21">
        <f t="shared" si="1"/>
        <v>608500</v>
      </c>
      <c r="H33" s="114">
        <f>607000+1500</f>
        <v>608500</v>
      </c>
      <c r="I33" s="21"/>
      <c r="J33" s="21"/>
    </row>
    <row r="34" spans="1:10" ht="15" customHeight="1">
      <c r="A34" s="28" t="s">
        <v>49</v>
      </c>
      <c r="B34" s="28" t="s">
        <v>56</v>
      </c>
      <c r="C34" s="28" t="s">
        <v>62</v>
      </c>
      <c r="D34" s="34" t="s">
        <v>68</v>
      </c>
      <c r="E34" s="149"/>
      <c r="F34" s="200"/>
      <c r="G34" s="21">
        <f t="shared" si="1"/>
        <v>1621368</v>
      </c>
      <c r="H34" s="110">
        <f>1192000+124810+1218439-1218439+30605+19200+204320</f>
        <v>1570935</v>
      </c>
      <c r="I34" s="110">
        <v>50433</v>
      </c>
      <c r="J34" s="21">
        <f>I34</f>
        <v>50433</v>
      </c>
    </row>
    <row r="35" spans="1:10" ht="15.75">
      <c r="A35" s="28" t="s">
        <v>50</v>
      </c>
      <c r="B35" s="28" t="s">
        <v>57</v>
      </c>
      <c r="C35" s="28" t="s">
        <v>62</v>
      </c>
      <c r="D35" s="45" t="s">
        <v>69</v>
      </c>
      <c r="E35" s="149"/>
      <c r="F35" s="200"/>
      <c r="G35" s="21">
        <f t="shared" si="1"/>
        <v>9050</v>
      </c>
      <c r="H35" s="114">
        <v>9050</v>
      </c>
      <c r="I35" s="22"/>
      <c r="J35" s="21"/>
    </row>
    <row r="36" spans="1:10" ht="15.75">
      <c r="A36" s="28" t="s">
        <v>189</v>
      </c>
      <c r="B36" s="28" t="s">
        <v>190</v>
      </c>
      <c r="C36" s="28"/>
      <c r="D36" s="45" t="s">
        <v>191</v>
      </c>
      <c r="E36" s="149"/>
      <c r="F36" s="200"/>
      <c r="G36" s="21">
        <f t="shared" si="1"/>
        <v>1218439</v>
      </c>
      <c r="H36" s="114">
        <v>1218439</v>
      </c>
      <c r="I36" s="22"/>
      <c r="J36" s="21"/>
    </row>
    <row r="37" spans="1:10" ht="30" customHeight="1">
      <c r="A37" s="28" t="s">
        <v>51</v>
      </c>
      <c r="B37" s="28" t="s">
        <v>58</v>
      </c>
      <c r="C37" s="28" t="s">
        <v>63</v>
      </c>
      <c r="D37" s="34" t="s">
        <v>70</v>
      </c>
      <c r="E37" s="149"/>
      <c r="F37" s="200"/>
      <c r="G37" s="21">
        <f t="shared" si="1"/>
        <v>1312820</v>
      </c>
      <c r="H37" s="110">
        <f>1100000+17000+980+20000+5800+32340+136700</f>
        <v>1312820</v>
      </c>
      <c r="I37" s="22"/>
      <c r="J37" s="21"/>
    </row>
    <row r="38" spans="1:10" ht="15.75" customHeight="1">
      <c r="A38" s="140" t="s">
        <v>106</v>
      </c>
      <c r="B38" s="155"/>
      <c r="C38" s="155"/>
      <c r="D38" s="156"/>
      <c r="E38" s="150"/>
      <c r="F38" s="154"/>
      <c r="G38" s="16">
        <f>H38+I38</f>
        <v>73250573.49000001</v>
      </c>
      <c r="H38" s="109">
        <f>H29+H30+H31+H32+H33+H34+H35+H36+H37</f>
        <v>71730991.49000001</v>
      </c>
      <c r="I38" s="46">
        <f>I29+I30+I31+I32+I33+I34+I35+I36+I37</f>
        <v>1519582</v>
      </c>
      <c r="J38" s="16">
        <f>J29+J30+J31+J32+J33+J34+J35+J36+J37</f>
        <v>1519582</v>
      </c>
    </row>
    <row r="39" spans="1:10" ht="19.5" customHeight="1">
      <c r="A39" s="201" t="s">
        <v>72</v>
      </c>
      <c r="B39" s="201"/>
      <c r="C39" s="201"/>
      <c r="D39" s="177" t="s">
        <v>73</v>
      </c>
      <c r="E39" s="202"/>
      <c r="F39" s="162"/>
      <c r="G39" s="17">
        <f>G40+G44+G45+G46+G50+G51</f>
        <v>2317970</v>
      </c>
      <c r="H39" s="17">
        <f>H40+H44+H45+H46+H50+H51</f>
        <v>1890349</v>
      </c>
      <c r="I39" s="17">
        <f>I40+I44+I45+I46+I50+I51</f>
        <v>427621</v>
      </c>
      <c r="J39" s="17">
        <f>J40+J44+J45+J46+J50+J51</f>
        <v>427621</v>
      </c>
    </row>
    <row r="40" spans="1:10" s="53" customFormat="1" ht="30.75" customHeight="1">
      <c r="A40" s="47" t="s">
        <v>116</v>
      </c>
      <c r="B40" s="28" t="s">
        <v>117</v>
      </c>
      <c r="C40" s="28" t="s">
        <v>118</v>
      </c>
      <c r="D40" s="48" t="s">
        <v>119</v>
      </c>
      <c r="E40" s="31" t="s">
        <v>120</v>
      </c>
      <c r="F40" s="23" t="s">
        <v>121</v>
      </c>
      <c r="G40" s="49">
        <f aca="true" t="shared" si="2" ref="G40:G56">H40+I40</f>
        <v>540000</v>
      </c>
      <c r="H40" s="117">
        <f>490000+50000</f>
        <v>540000</v>
      </c>
      <c r="I40" s="51"/>
      <c r="J40" s="52"/>
    </row>
    <row r="41" spans="1:10" s="53" customFormat="1" ht="29.25" customHeight="1">
      <c r="A41" s="30" t="s">
        <v>123</v>
      </c>
      <c r="B41" s="28" t="s">
        <v>124</v>
      </c>
      <c r="C41" s="28" t="s">
        <v>78</v>
      </c>
      <c r="D41" s="35" t="s">
        <v>125</v>
      </c>
      <c r="E41" s="145" t="s">
        <v>193</v>
      </c>
      <c r="F41" s="204" t="s">
        <v>122</v>
      </c>
      <c r="G41" s="49">
        <f t="shared" si="2"/>
        <v>23985</v>
      </c>
      <c r="H41" s="117">
        <f>20000+3985</f>
        <v>23985</v>
      </c>
      <c r="I41" s="51"/>
      <c r="J41" s="52"/>
    </row>
    <row r="42" spans="1:10" s="53" customFormat="1" ht="30" customHeight="1">
      <c r="A42" s="30" t="s">
        <v>126</v>
      </c>
      <c r="B42" s="28" t="s">
        <v>127</v>
      </c>
      <c r="C42" s="28" t="s">
        <v>118</v>
      </c>
      <c r="D42" s="34" t="s">
        <v>128</v>
      </c>
      <c r="E42" s="203"/>
      <c r="F42" s="205"/>
      <c r="G42" s="49">
        <f t="shared" si="2"/>
        <v>150000</v>
      </c>
      <c r="H42" s="117">
        <f>100000+50000</f>
        <v>150000</v>
      </c>
      <c r="I42" s="51"/>
      <c r="J42" s="52"/>
    </row>
    <row r="43" spans="1:10" s="53" customFormat="1" ht="30" customHeight="1">
      <c r="A43" s="30" t="s">
        <v>129</v>
      </c>
      <c r="B43" s="28" t="s">
        <v>130</v>
      </c>
      <c r="C43" s="28" t="s">
        <v>118</v>
      </c>
      <c r="D43" s="34" t="s">
        <v>131</v>
      </c>
      <c r="E43" s="203"/>
      <c r="F43" s="205"/>
      <c r="G43" s="49">
        <f t="shared" si="2"/>
        <v>325000</v>
      </c>
      <c r="H43" s="117">
        <f>200000+125000</f>
        <v>325000</v>
      </c>
      <c r="I43" s="51"/>
      <c r="J43" s="52"/>
    </row>
    <row r="44" spans="1:10" s="54" customFormat="1" ht="15" customHeight="1">
      <c r="A44" s="140" t="s">
        <v>106</v>
      </c>
      <c r="B44" s="143"/>
      <c r="C44" s="143"/>
      <c r="D44" s="206"/>
      <c r="E44" s="150"/>
      <c r="F44" s="154"/>
      <c r="G44" s="52">
        <f>H44+I44</f>
        <v>498985</v>
      </c>
      <c r="H44" s="51">
        <f>H41+H42+H43</f>
        <v>498985</v>
      </c>
      <c r="I44" s="51">
        <f>I41+I42+I43</f>
        <v>0</v>
      </c>
      <c r="J44" s="52">
        <f>J41+J42+J43</f>
        <v>0</v>
      </c>
    </row>
    <row r="45" spans="1:10" s="118" customFormat="1" ht="30.75" customHeight="1">
      <c r="A45" s="37" t="s">
        <v>279</v>
      </c>
      <c r="B45" s="32" t="s">
        <v>280</v>
      </c>
      <c r="C45" s="32" t="s">
        <v>281</v>
      </c>
      <c r="D45" s="120" t="s">
        <v>282</v>
      </c>
      <c r="E45" s="108" t="s">
        <v>277</v>
      </c>
      <c r="F45" s="107" t="s">
        <v>278</v>
      </c>
      <c r="G45" s="52">
        <f>H45+I45</f>
        <v>4364</v>
      </c>
      <c r="H45" s="119">
        <v>4364</v>
      </c>
      <c r="I45" s="49"/>
      <c r="J45" s="49"/>
    </row>
    <row r="46" spans="1:10" ht="15.75">
      <c r="A46" s="192" t="s">
        <v>74</v>
      </c>
      <c r="B46" s="192" t="s">
        <v>76</v>
      </c>
      <c r="C46" s="192" t="s">
        <v>54</v>
      </c>
      <c r="D46" s="182" t="s">
        <v>79</v>
      </c>
      <c r="E46" s="194"/>
      <c r="F46" s="55"/>
      <c r="G46" s="16">
        <f>H46+I46</f>
        <v>790000</v>
      </c>
      <c r="H46" s="109">
        <f>H47+H48+H49</f>
        <v>790000</v>
      </c>
      <c r="I46" s="46">
        <f>I47+I48+I49</f>
        <v>0</v>
      </c>
      <c r="J46" s="16">
        <f>J47+J48+J49</f>
        <v>0</v>
      </c>
    </row>
    <row r="47" spans="1:10" ht="30">
      <c r="A47" s="193"/>
      <c r="B47" s="193"/>
      <c r="C47" s="193"/>
      <c r="D47" s="31" t="s">
        <v>80</v>
      </c>
      <c r="E47" s="56" t="s">
        <v>81</v>
      </c>
      <c r="F47" s="20" t="s">
        <v>87</v>
      </c>
      <c r="G47" s="21">
        <f t="shared" si="2"/>
        <v>246600</v>
      </c>
      <c r="H47" s="112">
        <f>200100+46400+100</f>
        <v>246600</v>
      </c>
      <c r="I47" s="22"/>
      <c r="J47" s="21"/>
    </row>
    <row r="48" spans="1:10" ht="45" customHeight="1">
      <c r="A48" s="193"/>
      <c r="B48" s="193"/>
      <c r="C48" s="193"/>
      <c r="D48" s="57" t="s">
        <v>82</v>
      </c>
      <c r="E48" s="19" t="s">
        <v>83</v>
      </c>
      <c r="F48" s="20" t="s">
        <v>88</v>
      </c>
      <c r="G48" s="21">
        <f t="shared" si="2"/>
        <v>100100</v>
      </c>
      <c r="H48" s="112">
        <f>60100+4000+35900+100</f>
        <v>100100</v>
      </c>
      <c r="I48" s="22"/>
      <c r="J48" s="21"/>
    </row>
    <row r="49" spans="1:10" ht="19.5" customHeight="1">
      <c r="A49" s="193"/>
      <c r="B49" s="193"/>
      <c r="C49" s="193"/>
      <c r="D49" s="57" t="s">
        <v>84</v>
      </c>
      <c r="E49" s="195" t="s">
        <v>85</v>
      </c>
      <c r="F49" s="198" t="s">
        <v>268</v>
      </c>
      <c r="G49" s="21">
        <f t="shared" si="2"/>
        <v>443300</v>
      </c>
      <c r="H49" s="112">
        <f>339800+50000+50000-4000+6700+800</f>
        <v>443300</v>
      </c>
      <c r="I49" s="22"/>
      <c r="J49" s="21"/>
    </row>
    <row r="50" spans="1:10" ht="47.25" customHeight="1">
      <c r="A50" s="28" t="s">
        <v>75</v>
      </c>
      <c r="B50" s="28" t="s">
        <v>77</v>
      </c>
      <c r="C50" s="28" t="s">
        <v>78</v>
      </c>
      <c r="D50" s="34" t="s">
        <v>86</v>
      </c>
      <c r="E50" s="196"/>
      <c r="F50" s="199"/>
      <c r="G50" s="21">
        <f t="shared" si="2"/>
        <v>117767</v>
      </c>
      <c r="H50" s="112">
        <f>50000+7000</f>
        <v>57000</v>
      </c>
      <c r="I50" s="112">
        <f>44000+18000-1233</f>
        <v>60767</v>
      </c>
      <c r="J50" s="21">
        <f>I50</f>
        <v>60767</v>
      </c>
    </row>
    <row r="51" spans="1:10" ht="72.75" customHeight="1">
      <c r="A51" s="37" t="s">
        <v>244</v>
      </c>
      <c r="B51" s="32" t="s">
        <v>245</v>
      </c>
      <c r="C51" s="32" t="s">
        <v>246</v>
      </c>
      <c r="D51" s="60" t="s">
        <v>247</v>
      </c>
      <c r="E51" s="197"/>
      <c r="F51" s="134"/>
      <c r="G51" s="21">
        <f t="shared" si="2"/>
        <v>366854</v>
      </c>
      <c r="H51" s="22"/>
      <c r="I51" s="112">
        <v>366854</v>
      </c>
      <c r="J51" s="21">
        <f>I51</f>
        <v>366854</v>
      </c>
    </row>
    <row r="52" spans="1:10" s="27" customFormat="1" ht="21" customHeight="1">
      <c r="A52" s="104">
        <v>10</v>
      </c>
      <c r="B52" s="59"/>
      <c r="C52" s="59"/>
      <c r="D52" s="173" t="s">
        <v>194</v>
      </c>
      <c r="E52" s="174"/>
      <c r="F52" s="175"/>
      <c r="G52" s="16">
        <f>G56+G55+G54+G53</f>
        <v>909518</v>
      </c>
      <c r="H52" s="16">
        <f>H56+H55+H54+H53</f>
        <v>875244</v>
      </c>
      <c r="I52" s="16">
        <f>I56+I55+I54+I53</f>
        <v>34274</v>
      </c>
      <c r="J52" s="16">
        <f>J56+J55+J54+J53</f>
        <v>34274</v>
      </c>
    </row>
    <row r="53" spans="1:10" s="2" customFormat="1" ht="30.75" customHeight="1">
      <c r="A53" s="37" t="s">
        <v>210</v>
      </c>
      <c r="B53" s="32" t="s">
        <v>207</v>
      </c>
      <c r="C53" s="32" t="s">
        <v>61</v>
      </c>
      <c r="D53" s="60" t="s">
        <v>211</v>
      </c>
      <c r="E53" s="186" t="s">
        <v>208</v>
      </c>
      <c r="F53" s="189" t="s">
        <v>231</v>
      </c>
      <c r="G53" s="21">
        <f>H53+I53</f>
        <v>49518</v>
      </c>
      <c r="H53" s="111">
        <v>20244</v>
      </c>
      <c r="I53" s="111">
        <f>30000-726</f>
        <v>29274</v>
      </c>
      <c r="J53" s="49">
        <f>I53</f>
        <v>29274</v>
      </c>
    </row>
    <row r="54" spans="1:10" s="2" customFormat="1" ht="16.5" customHeight="1">
      <c r="A54" s="37" t="s">
        <v>212</v>
      </c>
      <c r="B54" s="32" t="s">
        <v>209</v>
      </c>
      <c r="C54" s="32" t="s">
        <v>213</v>
      </c>
      <c r="D54" s="60" t="s">
        <v>214</v>
      </c>
      <c r="E54" s="187"/>
      <c r="F54" s="190"/>
      <c r="G54" s="21">
        <f>H54+I54</f>
        <v>5000</v>
      </c>
      <c r="H54" s="111">
        <v>0</v>
      </c>
      <c r="I54" s="111">
        <v>5000</v>
      </c>
      <c r="J54" s="49">
        <f>I54</f>
        <v>5000</v>
      </c>
    </row>
    <row r="55" spans="1:10" s="2" customFormat="1" ht="30" customHeight="1">
      <c r="A55" s="37" t="s">
        <v>143</v>
      </c>
      <c r="B55" s="32" t="s">
        <v>144</v>
      </c>
      <c r="C55" s="32" t="s">
        <v>145</v>
      </c>
      <c r="D55" s="60" t="s">
        <v>146</v>
      </c>
      <c r="E55" s="188"/>
      <c r="F55" s="191"/>
      <c r="G55" s="21">
        <f>H55+I55</f>
        <v>330000</v>
      </c>
      <c r="H55" s="111">
        <f>250000+30000+50000</f>
        <v>330000</v>
      </c>
      <c r="I55" s="61"/>
      <c r="J55" s="49">
        <f>I55</f>
        <v>0</v>
      </c>
    </row>
    <row r="56" spans="1:10" s="2" customFormat="1" ht="30.75" customHeight="1">
      <c r="A56" s="30" t="s">
        <v>195</v>
      </c>
      <c r="B56" s="28" t="s">
        <v>196</v>
      </c>
      <c r="C56" s="28" t="s">
        <v>197</v>
      </c>
      <c r="D56" s="34" t="s">
        <v>198</v>
      </c>
      <c r="E56" s="36" t="s">
        <v>233</v>
      </c>
      <c r="F56" s="62" t="s">
        <v>283</v>
      </c>
      <c r="G56" s="21">
        <f t="shared" si="2"/>
        <v>525000</v>
      </c>
      <c r="H56" s="111">
        <f>75000+100000+200000+50000+100000</f>
        <v>525000</v>
      </c>
      <c r="I56" s="61"/>
      <c r="J56" s="49"/>
    </row>
    <row r="57" ht="15.75">
      <c r="G57" s="21"/>
    </row>
    <row r="58" spans="1:10" ht="15.75">
      <c r="A58" s="176" t="s">
        <v>89</v>
      </c>
      <c r="B58" s="176"/>
      <c r="C58" s="176"/>
      <c r="D58" s="177" t="s">
        <v>90</v>
      </c>
      <c r="E58" s="177"/>
      <c r="F58" s="178"/>
      <c r="G58" s="16">
        <f>G59+G60+G61+G62+G63</f>
        <v>538000</v>
      </c>
      <c r="H58" s="17">
        <f>H59+H60+H61+H62+H63</f>
        <v>408000</v>
      </c>
      <c r="I58" s="17">
        <f>I59+I60+I61+I62+I63</f>
        <v>130000</v>
      </c>
      <c r="J58" s="16">
        <f>J59+J60+J61+J62+J63</f>
        <v>130000</v>
      </c>
    </row>
    <row r="59" spans="1:10" ht="47.25" customHeight="1">
      <c r="A59" s="32" t="s">
        <v>91</v>
      </c>
      <c r="B59" s="47" t="s">
        <v>94</v>
      </c>
      <c r="C59" s="47" t="s">
        <v>32</v>
      </c>
      <c r="D59" s="18" t="s">
        <v>97</v>
      </c>
      <c r="E59" s="19" t="s">
        <v>100</v>
      </c>
      <c r="F59" s="20" t="s">
        <v>103</v>
      </c>
      <c r="G59" s="21">
        <f aca="true" t="shared" si="3" ref="G59:G76">H59+I59</f>
        <v>70000</v>
      </c>
      <c r="H59" s="114">
        <f>20000+30000+30000-10000</f>
        <v>70000</v>
      </c>
      <c r="I59" s="22"/>
      <c r="J59" s="21"/>
    </row>
    <row r="60" spans="1:10" ht="30">
      <c r="A60" s="179" t="s">
        <v>92</v>
      </c>
      <c r="B60" s="179" t="s">
        <v>95</v>
      </c>
      <c r="C60" s="179" t="s">
        <v>63</v>
      </c>
      <c r="D60" s="182" t="s">
        <v>98</v>
      </c>
      <c r="E60" s="58" t="s">
        <v>101</v>
      </c>
      <c r="F60" s="62" t="s">
        <v>113</v>
      </c>
      <c r="G60" s="21">
        <f t="shared" si="3"/>
        <v>5000</v>
      </c>
      <c r="H60" s="114">
        <v>5000</v>
      </c>
      <c r="I60" s="112"/>
      <c r="J60" s="21"/>
    </row>
    <row r="61" spans="1:10" ht="33.75" customHeight="1">
      <c r="A61" s="180"/>
      <c r="B61" s="181"/>
      <c r="C61" s="181"/>
      <c r="D61" s="183"/>
      <c r="E61" s="63" t="s">
        <v>205</v>
      </c>
      <c r="F61" s="20" t="s">
        <v>104</v>
      </c>
      <c r="G61" s="21">
        <f t="shared" si="3"/>
        <v>335000</v>
      </c>
      <c r="H61" s="114">
        <f>235000+40000</f>
        <v>275000</v>
      </c>
      <c r="I61" s="112">
        <v>60000</v>
      </c>
      <c r="J61" s="21">
        <f>I61</f>
        <v>60000</v>
      </c>
    </row>
    <row r="62" spans="1:10" ht="15.75">
      <c r="A62" s="180"/>
      <c r="B62" s="181"/>
      <c r="C62" s="181"/>
      <c r="D62" s="183"/>
      <c r="E62" s="184" t="s">
        <v>102</v>
      </c>
      <c r="F62" s="159" t="s">
        <v>266</v>
      </c>
      <c r="G62" s="21">
        <f t="shared" si="3"/>
        <v>120000</v>
      </c>
      <c r="H62" s="114">
        <f>50000</f>
        <v>50000</v>
      </c>
      <c r="I62" s="112">
        <f>70000</f>
        <v>70000</v>
      </c>
      <c r="J62" s="21">
        <f>I62</f>
        <v>70000</v>
      </c>
    </row>
    <row r="63" spans="1:10" ht="29.25" customHeight="1">
      <c r="A63" s="28" t="s">
        <v>93</v>
      </c>
      <c r="B63" s="28" t="s">
        <v>96</v>
      </c>
      <c r="C63" s="28" t="s">
        <v>63</v>
      </c>
      <c r="D63" s="34" t="s">
        <v>99</v>
      </c>
      <c r="E63" s="185"/>
      <c r="F63" s="159"/>
      <c r="G63" s="21">
        <f t="shared" si="3"/>
        <v>8000</v>
      </c>
      <c r="H63" s="112">
        <v>8000</v>
      </c>
      <c r="I63" s="22"/>
      <c r="J63" s="21"/>
    </row>
    <row r="64" spans="1:10" ht="15.75">
      <c r="A64" s="160" t="s">
        <v>105</v>
      </c>
      <c r="B64" s="161"/>
      <c r="C64" s="161"/>
      <c r="D64" s="161"/>
      <c r="E64" s="161"/>
      <c r="F64" s="162"/>
      <c r="G64" s="16">
        <f>H64+I64</f>
        <v>44029636</v>
      </c>
      <c r="H64" s="17">
        <f>H77+H93+H116+H82+H65+H66</f>
        <v>19275943</v>
      </c>
      <c r="I64" s="17">
        <f>I77+I93+I116+I82+I65+I66</f>
        <v>24753693</v>
      </c>
      <c r="J64" s="16">
        <f>J77+J93+J116+J82+J65+J66</f>
        <v>24407693</v>
      </c>
    </row>
    <row r="65" spans="1:10" s="42" customFormat="1" ht="30">
      <c r="A65" s="32" t="s">
        <v>157</v>
      </c>
      <c r="B65" s="28" t="s">
        <v>158</v>
      </c>
      <c r="C65" s="28" t="s">
        <v>37</v>
      </c>
      <c r="D65" s="64" t="s">
        <v>159</v>
      </c>
      <c r="E65" s="170" t="s">
        <v>241</v>
      </c>
      <c r="F65" s="148" t="s">
        <v>273</v>
      </c>
      <c r="G65" s="21">
        <f>H65+I65</f>
        <v>1914846</v>
      </c>
      <c r="H65" s="22"/>
      <c r="I65" s="111">
        <f>140000+1644846+130000</f>
        <v>1914846</v>
      </c>
      <c r="J65" s="21">
        <f>I65</f>
        <v>1914846</v>
      </c>
    </row>
    <row r="66" spans="1:10" s="42" customFormat="1" ht="15.75">
      <c r="A66" s="32" t="s">
        <v>228</v>
      </c>
      <c r="B66" s="28" t="s">
        <v>229</v>
      </c>
      <c r="C66" s="28" t="s">
        <v>19</v>
      </c>
      <c r="D66" s="65" t="s">
        <v>230</v>
      </c>
      <c r="E66" s="171"/>
      <c r="F66" s="172"/>
      <c r="G66" s="21">
        <f>H66+I66</f>
        <v>1850278</v>
      </c>
      <c r="H66" s="22"/>
      <c r="I66" s="111">
        <v>1850278</v>
      </c>
      <c r="J66" s="21">
        <f>I66</f>
        <v>1850278</v>
      </c>
    </row>
    <row r="67" spans="1:10" s="42" customFormat="1" ht="15.75">
      <c r="A67" s="140" t="s">
        <v>106</v>
      </c>
      <c r="B67" s="155"/>
      <c r="C67" s="155"/>
      <c r="D67" s="155"/>
      <c r="E67" s="152"/>
      <c r="F67" s="66"/>
      <c r="G67" s="16">
        <f>G65+G66</f>
        <v>3765124</v>
      </c>
      <c r="H67" s="16">
        <f>H65+H66</f>
        <v>0</v>
      </c>
      <c r="I67" s="16">
        <f>I65+I66</f>
        <v>3765124</v>
      </c>
      <c r="J67" s="16">
        <f>J65+J66</f>
        <v>3765124</v>
      </c>
    </row>
    <row r="68" spans="1:10" s="68" customFormat="1" ht="30" customHeight="1">
      <c r="A68" s="37" t="s">
        <v>168</v>
      </c>
      <c r="B68" s="32" t="s">
        <v>169</v>
      </c>
      <c r="C68" s="32" t="s">
        <v>170</v>
      </c>
      <c r="D68" s="67" t="s">
        <v>171</v>
      </c>
      <c r="E68" s="163" t="s">
        <v>206</v>
      </c>
      <c r="F68" s="166" t="s">
        <v>270</v>
      </c>
      <c r="G68" s="49">
        <f t="shared" si="3"/>
        <v>4081900</v>
      </c>
      <c r="H68" s="119">
        <f>1846500+560000+65000+180000+380000+275000+350000+361400</f>
        <v>4017900</v>
      </c>
      <c r="I68" s="119">
        <f>18500+17000+30000-1500</f>
        <v>64000</v>
      </c>
      <c r="J68" s="49">
        <f>18500+17000+30000-1500</f>
        <v>64000</v>
      </c>
    </row>
    <row r="69" spans="1:11" s="70" customFormat="1" ht="29.25" customHeight="1">
      <c r="A69" s="30" t="s">
        <v>174</v>
      </c>
      <c r="B69" s="28" t="s">
        <v>175</v>
      </c>
      <c r="C69" s="28" t="s">
        <v>176</v>
      </c>
      <c r="D69" s="31" t="s">
        <v>177</v>
      </c>
      <c r="E69" s="164"/>
      <c r="F69" s="149"/>
      <c r="G69" s="49">
        <f t="shared" si="3"/>
        <v>140000</v>
      </c>
      <c r="H69" s="117">
        <f>100000+40000</f>
        <v>140000</v>
      </c>
      <c r="I69" s="50"/>
      <c r="J69" s="16"/>
      <c r="K69" s="69"/>
    </row>
    <row r="70" spans="1:10" s="70" customFormat="1" ht="29.25" customHeight="1">
      <c r="A70" s="37" t="s">
        <v>184</v>
      </c>
      <c r="B70" s="32" t="s">
        <v>182</v>
      </c>
      <c r="C70" s="32" t="s">
        <v>37</v>
      </c>
      <c r="D70" s="71" t="s">
        <v>185</v>
      </c>
      <c r="E70" s="164"/>
      <c r="F70" s="149"/>
      <c r="G70" s="49">
        <f t="shared" si="3"/>
        <v>39000</v>
      </c>
      <c r="H70" s="117">
        <f>34000+5000</f>
        <v>39000</v>
      </c>
      <c r="I70" s="50"/>
      <c r="J70" s="16"/>
    </row>
    <row r="71" spans="1:10" s="53" customFormat="1" ht="30">
      <c r="A71" s="30" t="s">
        <v>157</v>
      </c>
      <c r="B71" s="28" t="s">
        <v>158</v>
      </c>
      <c r="C71" s="28" t="s">
        <v>37</v>
      </c>
      <c r="D71" s="64" t="s">
        <v>159</v>
      </c>
      <c r="E71" s="164"/>
      <c r="F71" s="149"/>
      <c r="G71" s="21">
        <f t="shared" si="3"/>
        <v>416000</v>
      </c>
      <c r="H71" s="117">
        <f>156000+50000+50000+100000+60000</f>
        <v>416000</v>
      </c>
      <c r="I71" s="50"/>
      <c r="J71" s="49"/>
    </row>
    <row r="72" spans="1:10" s="53" customFormat="1" ht="30">
      <c r="A72" s="30" t="s">
        <v>160</v>
      </c>
      <c r="B72" s="28" t="s">
        <v>161</v>
      </c>
      <c r="C72" s="28" t="s">
        <v>37</v>
      </c>
      <c r="D72" s="72" t="s">
        <v>162</v>
      </c>
      <c r="E72" s="164"/>
      <c r="F72" s="149"/>
      <c r="G72" s="21">
        <f t="shared" si="3"/>
        <v>245000</v>
      </c>
      <c r="H72" s="119">
        <f>184000+3000+8000+50000</f>
        <v>245000</v>
      </c>
      <c r="I72" s="50"/>
      <c r="J72" s="49"/>
    </row>
    <row r="73" spans="1:10" ht="45">
      <c r="A73" s="28" t="s">
        <v>35</v>
      </c>
      <c r="B73" s="28" t="s">
        <v>36</v>
      </c>
      <c r="C73" s="28" t="s">
        <v>37</v>
      </c>
      <c r="D73" s="64" t="s">
        <v>27</v>
      </c>
      <c r="E73" s="164"/>
      <c r="F73" s="149"/>
      <c r="G73" s="21">
        <f t="shared" si="3"/>
        <v>1493571</v>
      </c>
      <c r="H73" s="114">
        <f>600000+538571+105500-60000</f>
        <v>1184071</v>
      </c>
      <c r="I73" s="112">
        <f>35000+(199500+15000)+60000</f>
        <v>309500</v>
      </c>
      <c r="J73" s="21">
        <f>I73</f>
        <v>309500</v>
      </c>
    </row>
    <row r="74" spans="1:10" ht="15.75">
      <c r="A74" s="28" t="s">
        <v>38</v>
      </c>
      <c r="B74" s="28" t="s">
        <v>39</v>
      </c>
      <c r="C74" s="28" t="s">
        <v>37</v>
      </c>
      <c r="D74" s="64" t="s">
        <v>28</v>
      </c>
      <c r="E74" s="164"/>
      <c r="F74" s="149"/>
      <c r="G74" s="21">
        <f t="shared" si="3"/>
        <v>9052293</v>
      </c>
      <c r="H74" s="112">
        <f>-400000+8626293-150000-186000+50000+650000+400000</f>
        <v>8990293</v>
      </c>
      <c r="I74" s="112">
        <f>12000+50000</f>
        <v>62000</v>
      </c>
      <c r="J74" s="21">
        <f>I74</f>
        <v>62000</v>
      </c>
    </row>
    <row r="75" spans="1:10" ht="31.5">
      <c r="A75" s="37" t="s">
        <v>186</v>
      </c>
      <c r="B75" s="32" t="s">
        <v>183</v>
      </c>
      <c r="C75" s="32" t="s">
        <v>187</v>
      </c>
      <c r="D75" s="71" t="s">
        <v>188</v>
      </c>
      <c r="E75" s="164"/>
      <c r="F75" s="149"/>
      <c r="G75" s="21">
        <f t="shared" si="3"/>
        <v>73000</v>
      </c>
      <c r="H75" s="112">
        <f>30000+43000</f>
        <v>73000</v>
      </c>
      <c r="I75" s="22"/>
      <c r="J75" s="21"/>
    </row>
    <row r="76" spans="1:10" ht="15.75">
      <c r="A76" s="37" t="s">
        <v>138</v>
      </c>
      <c r="B76" s="32" t="s">
        <v>139</v>
      </c>
      <c r="C76" s="32" t="s">
        <v>140</v>
      </c>
      <c r="D76" s="71" t="s">
        <v>141</v>
      </c>
      <c r="E76" s="164"/>
      <c r="F76" s="149"/>
      <c r="G76" s="21">
        <f t="shared" si="3"/>
        <v>270000</v>
      </c>
      <c r="H76" s="112">
        <f>200000+30000+40000</f>
        <v>270000</v>
      </c>
      <c r="I76" s="22"/>
      <c r="J76" s="21"/>
    </row>
    <row r="77" spans="1:10" ht="17.25" customHeight="1">
      <c r="A77" s="140" t="s">
        <v>106</v>
      </c>
      <c r="B77" s="155"/>
      <c r="C77" s="155"/>
      <c r="D77" s="155"/>
      <c r="E77" s="165"/>
      <c r="F77" s="150"/>
      <c r="G77" s="16">
        <f>G68+G69+G70+G71+G72+G73+G74+G75+G76</f>
        <v>15810764</v>
      </c>
      <c r="H77" s="16">
        <f>H68+H69+H70+H71+H72+H73+H74+H75+H76</f>
        <v>15375264</v>
      </c>
      <c r="I77" s="16">
        <f>I68+I69+I70+I71+I72+I73+I74+I75+I76</f>
        <v>435500</v>
      </c>
      <c r="J77" s="16">
        <f>J68+J69+J70+J71+J72+J73+J74+J75+J76</f>
        <v>435500</v>
      </c>
    </row>
    <row r="78" spans="1:10" ht="17.25" customHeight="1">
      <c r="A78" s="28" t="s">
        <v>45</v>
      </c>
      <c r="B78" s="73">
        <v>1010</v>
      </c>
      <c r="C78" s="28" t="s">
        <v>59</v>
      </c>
      <c r="D78" s="34" t="s">
        <v>64</v>
      </c>
      <c r="E78" s="145" t="s">
        <v>178</v>
      </c>
      <c r="F78" s="148" t="s">
        <v>271</v>
      </c>
      <c r="G78" s="21">
        <f aca="true" t="shared" si="4" ref="G78:G83">H78+I78</f>
        <v>27489</v>
      </c>
      <c r="H78" s="22">
        <f>1729+25760</f>
        <v>27489</v>
      </c>
      <c r="I78" s="46"/>
      <c r="J78" s="16"/>
    </row>
    <row r="79" spans="1:10" ht="60" customHeight="1">
      <c r="A79" s="28" t="s">
        <v>46</v>
      </c>
      <c r="B79" s="73">
        <v>1020</v>
      </c>
      <c r="C79" s="28" t="s">
        <v>60</v>
      </c>
      <c r="D79" s="34" t="s">
        <v>65</v>
      </c>
      <c r="E79" s="146"/>
      <c r="F79" s="149"/>
      <c r="G79" s="21">
        <f t="shared" si="4"/>
        <v>172899</v>
      </c>
      <c r="H79" s="112">
        <f>(31110*3)+28020+18570+28980+3999</f>
        <v>172899</v>
      </c>
      <c r="I79" s="46"/>
      <c r="J79" s="16"/>
    </row>
    <row r="80" spans="1:10" ht="30" customHeight="1">
      <c r="A80" s="37" t="s">
        <v>51</v>
      </c>
      <c r="B80" s="32" t="s">
        <v>58</v>
      </c>
      <c r="C80" s="32" t="s">
        <v>63</v>
      </c>
      <c r="D80" s="60" t="s">
        <v>70</v>
      </c>
      <c r="E80" s="146"/>
      <c r="F80" s="149"/>
      <c r="G80" s="21">
        <f t="shared" si="4"/>
        <v>18570</v>
      </c>
      <c r="H80" s="112">
        <v>18570</v>
      </c>
      <c r="I80" s="46"/>
      <c r="J80" s="16"/>
    </row>
    <row r="81" spans="1:10" ht="18.75" customHeight="1">
      <c r="A81" s="74" t="s">
        <v>232</v>
      </c>
      <c r="B81" s="32" t="s">
        <v>179</v>
      </c>
      <c r="C81" s="32" t="s">
        <v>180</v>
      </c>
      <c r="D81" s="63" t="s">
        <v>181</v>
      </c>
      <c r="E81" s="146"/>
      <c r="F81" s="149"/>
      <c r="G81" s="21">
        <f>H81+I81</f>
        <v>40000</v>
      </c>
      <c r="H81" s="114">
        <f>5000+35000</f>
        <v>40000</v>
      </c>
      <c r="I81" s="21"/>
      <c r="J81" s="21"/>
    </row>
    <row r="82" spans="1:10" s="27" customFormat="1" ht="17.25" customHeight="1">
      <c r="A82" s="140" t="s">
        <v>106</v>
      </c>
      <c r="B82" s="143"/>
      <c r="C82" s="143"/>
      <c r="D82" s="143"/>
      <c r="E82" s="147"/>
      <c r="F82" s="150"/>
      <c r="G82" s="46">
        <f>G78+G79+G80+G81</f>
        <v>258958</v>
      </c>
      <c r="H82" s="46">
        <f>H78+H79+H80+H81</f>
        <v>258958</v>
      </c>
      <c r="I82" s="46">
        <f>I81+I78+I79+I80</f>
        <v>0</v>
      </c>
      <c r="J82" s="16">
        <f>J81+J78+J79+J80</f>
        <v>0</v>
      </c>
    </row>
    <row r="83" spans="1:10" ht="30" customHeight="1">
      <c r="A83" s="28" t="s">
        <v>134</v>
      </c>
      <c r="B83" s="28" t="s">
        <v>135</v>
      </c>
      <c r="C83" s="28" t="s">
        <v>136</v>
      </c>
      <c r="D83" s="34" t="s">
        <v>137</v>
      </c>
      <c r="E83" s="167" t="s">
        <v>173</v>
      </c>
      <c r="F83" s="137" t="s">
        <v>192</v>
      </c>
      <c r="G83" s="16">
        <f t="shared" si="4"/>
        <v>154956</v>
      </c>
      <c r="H83" s="111">
        <f>154956</f>
        <v>154956</v>
      </c>
      <c r="I83" s="61"/>
      <c r="J83" s="49"/>
    </row>
    <row r="84" spans="1:10" ht="15.75">
      <c r="A84" s="28" t="s">
        <v>18</v>
      </c>
      <c r="B84" s="28" t="s">
        <v>19</v>
      </c>
      <c r="C84" s="28" t="s">
        <v>20</v>
      </c>
      <c r="D84" s="35" t="s">
        <v>17</v>
      </c>
      <c r="E84" s="168"/>
      <c r="F84" s="138"/>
      <c r="G84" s="16">
        <f aca="true" t="shared" si="5" ref="G84:G92">H84+I84</f>
        <v>45000</v>
      </c>
      <c r="H84" s="111">
        <f>45000</f>
        <v>45000</v>
      </c>
      <c r="I84" s="61"/>
      <c r="J84" s="49"/>
    </row>
    <row r="85" spans="1:10" ht="15.75">
      <c r="A85" s="28" t="s">
        <v>45</v>
      </c>
      <c r="B85" s="73">
        <v>1010</v>
      </c>
      <c r="C85" s="28" t="s">
        <v>59</v>
      </c>
      <c r="D85" s="34" t="s">
        <v>64</v>
      </c>
      <c r="E85" s="168"/>
      <c r="F85" s="138"/>
      <c r="G85" s="16">
        <f t="shared" si="5"/>
        <v>3000</v>
      </c>
      <c r="H85" s="111">
        <v>3000</v>
      </c>
      <c r="I85" s="61"/>
      <c r="J85" s="49"/>
    </row>
    <row r="86" spans="1:10" ht="60">
      <c r="A86" s="28" t="s">
        <v>46</v>
      </c>
      <c r="B86" s="73">
        <v>1020</v>
      </c>
      <c r="C86" s="28" t="s">
        <v>60</v>
      </c>
      <c r="D86" s="34" t="s">
        <v>65</v>
      </c>
      <c r="E86" s="168"/>
      <c r="F86" s="138"/>
      <c r="G86" s="16">
        <f t="shared" si="5"/>
        <v>17000</v>
      </c>
      <c r="H86" s="111">
        <f>7000+10000</f>
        <v>17000</v>
      </c>
      <c r="I86" s="61"/>
      <c r="J86" s="49"/>
    </row>
    <row r="87" spans="1:10" ht="30" customHeight="1">
      <c r="A87" s="28" t="s">
        <v>142</v>
      </c>
      <c r="B87" s="28" t="s">
        <v>135</v>
      </c>
      <c r="C87" s="28" t="s">
        <v>136</v>
      </c>
      <c r="D87" s="34" t="s">
        <v>137</v>
      </c>
      <c r="E87" s="168"/>
      <c r="F87" s="138"/>
      <c r="G87" s="16">
        <f t="shared" si="5"/>
        <v>25000</v>
      </c>
      <c r="H87" s="111">
        <f>10000+15000</f>
        <v>25000</v>
      </c>
      <c r="I87" s="61"/>
      <c r="J87" s="49"/>
    </row>
    <row r="88" spans="1:10" s="115" customFormat="1" ht="47.25" customHeight="1">
      <c r="A88" s="37" t="s">
        <v>222</v>
      </c>
      <c r="B88" s="32" t="s">
        <v>223</v>
      </c>
      <c r="C88" s="32" t="s">
        <v>53</v>
      </c>
      <c r="D88" s="35" t="s">
        <v>224</v>
      </c>
      <c r="E88" s="168"/>
      <c r="F88" s="138"/>
      <c r="G88" s="16">
        <f t="shared" si="5"/>
        <v>10000</v>
      </c>
      <c r="H88" s="119">
        <v>10000</v>
      </c>
      <c r="I88" s="49"/>
      <c r="J88" s="49"/>
    </row>
    <row r="89" spans="1:10" ht="30">
      <c r="A89" s="28" t="s">
        <v>143</v>
      </c>
      <c r="B89" s="28" t="s">
        <v>144</v>
      </c>
      <c r="C89" s="28" t="s">
        <v>145</v>
      </c>
      <c r="D89" s="34" t="s">
        <v>146</v>
      </c>
      <c r="E89" s="168"/>
      <c r="F89" s="138"/>
      <c r="G89" s="16">
        <f t="shared" si="5"/>
        <v>54020</v>
      </c>
      <c r="H89" s="111">
        <f>20000+34020</f>
        <v>54020</v>
      </c>
      <c r="I89" s="61"/>
      <c r="J89" s="49"/>
    </row>
    <row r="90" spans="1:10" ht="15.75">
      <c r="A90" s="28" t="s">
        <v>91</v>
      </c>
      <c r="B90" s="28" t="s">
        <v>94</v>
      </c>
      <c r="C90" s="28" t="s">
        <v>32</v>
      </c>
      <c r="D90" s="34" t="s">
        <v>97</v>
      </c>
      <c r="E90" s="168"/>
      <c r="F90" s="138"/>
      <c r="G90" s="16">
        <f t="shared" si="5"/>
        <v>20000</v>
      </c>
      <c r="H90" s="111">
        <f>10000+10000</f>
        <v>20000</v>
      </c>
      <c r="I90" s="61"/>
      <c r="J90" s="49"/>
    </row>
    <row r="91" spans="1:10" ht="17.25" customHeight="1">
      <c r="A91" s="28" t="s">
        <v>147</v>
      </c>
      <c r="B91" s="28" t="s">
        <v>148</v>
      </c>
      <c r="C91" s="28" t="s">
        <v>63</v>
      </c>
      <c r="D91" s="34" t="s">
        <v>149</v>
      </c>
      <c r="E91" s="168"/>
      <c r="F91" s="138"/>
      <c r="G91" s="16">
        <f t="shared" si="5"/>
        <v>19000</v>
      </c>
      <c r="H91" s="111">
        <f>9000+10000</f>
        <v>19000</v>
      </c>
      <c r="I91" s="61"/>
      <c r="J91" s="49"/>
    </row>
    <row r="92" spans="1:10" ht="27.75" customHeight="1">
      <c r="A92" s="28" t="s">
        <v>150</v>
      </c>
      <c r="B92" s="28" t="s">
        <v>135</v>
      </c>
      <c r="C92" s="28" t="s">
        <v>136</v>
      </c>
      <c r="D92" s="34" t="s">
        <v>137</v>
      </c>
      <c r="E92" s="168"/>
      <c r="F92" s="138"/>
      <c r="G92" s="16">
        <f t="shared" si="5"/>
        <v>33000</v>
      </c>
      <c r="H92" s="111">
        <f>5000+28000</f>
        <v>33000</v>
      </c>
      <c r="I92" s="61"/>
      <c r="J92" s="49"/>
    </row>
    <row r="93" spans="1:10" ht="15">
      <c r="A93" s="140" t="s">
        <v>106</v>
      </c>
      <c r="B93" s="141"/>
      <c r="C93" s="141"/>
      <c r="D93" s="142"/>
      <c r="E93" s="169"/>
      <c r="F93" s="139"/>
      <c r="G93" s="75">
        <f>G83+G84+G85+G86+G87+G88+G89+G90+G91+G92</f>
        <v>380976</v>
      </c>
      <c r="H93" s="75">
        <f>H83+H84+H85+H86+H87+H88+H89+H90+H91+H92</f>
        <v>380976</v>
      </c>
      <c r="I93" s="61"/>
      <c r="J93" s="49"/>
    </row>
    <row r="94" spans="1:10" ht="18" customHeight="1">
      <c r="A94" s="37" t="s">
        <v>45</v>
      </c>
      <c r="B94" s="32" t="s">
        <v>52</v>
      </c>
      <c r="C94" s="32" t="s">
        <v>59</v>
      </c>
      <c r="D94" s="60" t="s">
        <v>64</v>
      </c>
      <c r="E94" s="145" t="s">
        <v>221</v>
      </c>
      <c r="F94" s="148" t="s">
        <v>269</v>
      </c>
      <c r="G94" s="16">
        <f>H94+I94</f>
        <v>638236</v>
      </c>
      <c r="H94" s="75"/>
      <c r="I94" s="111">
        <f>430173+123000+38806+4022+28000+14235</f>
        <v>638236</v>
      </c>
      <c r="J94" s="49">
        <f>I94-28000</f>
        <v>610236</v>
      </c>
    </row>
    <row r="95" spans="1:11" ht="60">
      <c r="A95" s="30" t="s">
        <v>46</v>
      </c>
      <c r="B95" s="28" t="s">
        <v>53</v>
      </c>
      <c r="C95" s="28" t="s">
        <v>60</v>
      </c>
      <c r="D95" s="34" t="s">
        <v>65</v>
      </c>
      <c r="E95" s="151"/>
      <c r="F95" s="153"/>
      <c r="G95" s="16">
        <f>H95+I95</f>
        <v>1587679</v>
      </c>
      <c r="H95" s="75"/>
      <c r="I95" s="111">
        <f>269833+185000+188397+606770+193777+13600+2018+65000+50000+13284</f>
        <v>1587679</v>
      </c>
      <c r="J95" s="49">
        <f>I95-185000-28000</f>
        <v>1374679</v>
      </c>
      <c r="K95" s="76"/>
    </row>
    <row r="96" spans="1:10" ht="17.25" customHeight="1">
      <c r="A96" s="30" t="s">
        <v>168</v>
      </c>
      <c r="B96" s="28" t="s">
        <v>169</v>
      </c>
      <c r="C96" s="28" t="s">
        <v>170</v>
      </c>
      <c r="D96" s="29" t="s">
        <v>171</v>
      </c>
      <c r="E96" s="151"/>
      <c r="F96" s="153"/>
      <c r="G96" s="16">
        <f aca="true" t="shared" si="6" ref="G96:G115">H96+I96</f>
        <v>859542</v>
      </c>
      <c r="H96" s="75"/>
      <c r="I96" s="111">
        <f>441542+311000+7000+100000</f>
        <v>859542</v>
      </c>
      <c r="J96" s="49">
        <f>I96-7000</f>
        <v>852542</v>
      </c>
    </row>
    <row r="97" spans="1:10" ht="43.5" customHeight="1">
      <c r="A97" s="30" t="s">
        <v>222</v>
      </c>
      <c r="B97" s="28" t="s">
        <v>223</v>
      </c>
      <c r="C97" s="28" t="s">
        <v>53</v>
      </c>
      <c r="D97" s="35" t="s">
        <v>224</v>
      </c>
      <c r="E97" s="151"/>
      <c r="F97" s="153"/>
      <c r="G97" s="16">
        <f t="shared" si="6"/>
        <v>5426814</v>
      </c>
      <c r="H97" s="75"/>
      <c r="I97" s="116">
        <f>3950000+3000+1650000+109300-200000+1450000-1535486</f>
        <v>5426814</v>
      </c>
      <c r="J97" s="49">
        <f aca="true" t="shared" si="7" ref="J97:J115">I97</f>
        <v>5426814</v>
      </c>
    </row>
    <row r="98" spans="1:10" ht="18.75" customHeight="1">
      <c r="A98" s="37" t="s">
        <v>147</v>
      </c>
      <c r="B98" s="32" t="s">
        <v>148</v>
      </c>
      <c r="C98" s="32" t="s">
        <v>63</v>
      </c>
      <c r="D98" s="34" t="s">
        <v>149</v>
      </c>
      <c r="E98" s="151"/>
      <c r="F98" s="153"/>
      <c r="G98" s="16">
        <f t="shared" si="6"/>
        <v>37000</v>
      </c>
      <c r="H98" s="75"/>
      <c r="I98" s="111">
        <v>37000</v>
      </c>
      <c r="J98" s="49">
        <f t="shared" si="7"/>
        <v>37000</v>
      </c>
    </row>
    <row r="99" spans="1:10" ht="30" customHeight="1">
      <c r="A99" s="37" t="s">
        <v>157</v>
      </c>
      <c r="B99" s="32" t="s">
        <v>158</v>
      </c>
      <c r="C99" s="32" t="s">
        <v>37</v>
      </c>
      <c r="D99" s="35" t="s">
        <v>159</v>
      </c>
      <c r="E99" s="151"/>
      <c r="F99" s="153"/>
      <c r="G99" s="16">
        <f t="shared" si="6"/>
        <v>110000</v>
      </c>
      <c r="H99" s="111">
        <v>80000</v>
      </c>
      <c r="I99" s="111">
        <v>30000</v>
      </c>
      <c r="J99" s="49">
        <f t="shared" si="7"/>
        <v>30000</v>
      </c>
    </row>
    <row r="100" spans="1:10" ht="45">
      <c r="A100" s="30" t="s">
        <v>35</v>
      </c>
      <c r="B100" s="28" t="s">
        <v>36</v>
      </c>
      <c r="C100" s="28" t="s">
        <v>37</v>
      </c>
      <c r="D100" s="35" t="s">
        <v>27</v>
      </c>
      <c r="E100" s="151"/>
      <c r="F100" s="153"/>
      <c r="G100" s="16">
        <f t="shared" si="6"/>
        <v>1270075</v>
      </c>
      <c r="H100" s="75"/>
      <c r="I100" s="111">
        <f>159275+199500+30800-199500+1080000</f>
        <v>1270075</v>
      </c>
      <c r="J100" s="49">
        <f t="shared" si="7"/>
        <v>1270075</v>
      </c>
    </row>
    <row r="101" spans="1:11" ht="15.75">
      <c r="A101" s="30" t="s">
        <v>38</v>
      </c>
      <c r="B101" s="28" t="s">
        <v>39</v>
      </c>
      <c r="C101" s="28" t="s">
        <v>37</v>
      </c>
      <c r="D101" s="35" t="s">
        <v>28</v>
      </c>
      <c r="E101" s="151"/>
      <c r="F101" s="153"/>
      <c r="G101" s="16">
        <f t="shared" si="6"/>
        <v>994205</v>
      </c>
      <c r="H101" s="111">
        <f>381000+80000+50000</f>
        <v>511000</v>
      </c>
      <c r="I101" s="119">
        <f>119000+150000+8205-39560+49000+119000+77560</f>
        <v>483205</v>
      </c>
      <c r="J101" s="49">
        <f>I101-49000-49000</f>
        <v>385205</v>
      </c>
      <c r="K101" s="76"/>
    </row>
    <row r="102" spans="1:10" ht="33" customHeight="1">
      <c r="A102" s="30" t="s">
        <v>225</v>
      </c>
      <c r="B102" s="28" t="s">
        <v>226</v>
      </c>
      <c r="C102" s="28" t="s">
        <v>112</v>
      </c>
      <c r="D102" s="35" t="s">
        <v>227</v>
      </c>
      <c r="E102" s="151"/>
      <c r="F102" s="153"/>
      <c r="G102" s="16">
        <f t="shared" si="6"/>
        <v>2247200</v>
      </c>
      <c r="H102" s="75"/>
      <c r="I102" s="111">
        <f>2058600+550000-361400</f>
        <v>2247200</v>
      </c>
      <c r="J102" s="49">
        <f t="shared" si="7"/>
        <v>2247200</v>
      </c>
    </row>
    <row r="103" spans="1:10" ht="33" customHeight="1">
      <c r="A103" s="105" t="s">
        <v>249</v>
      </c>
      <c r="B103" s="97">
        <v>7368</v>
      </c>
      <c r="C103" s="98" t="s">
        <v>112</v>
      </c>
      <c r="D103" s="99" t="s">
        <v>250</v>
      </c>
      <c r="E103" s="151"/>
      <c r="F103" s="153"/>
      <c r="G103" s="16">
        <f t="shared" si="6"/>
        <v>1450000</v>
      </c>
      <c r="H103" s="75"/>
      <c r="I103" s="111">
        <v>1450000</v>
      </c>
      <c r="J103" s="49">
        <f t="shared" si="7"/>
        <v>1450000</v>
      </c>
    </row>
    <row r="104" spans="1:10" ht="30" customHeight="1">
      <c r="A104" s="28" t="s">
        <v>107</v>
      </c>
      <c r="B104" s="28" t="s">
        <v>108</v>
      </c>
      <c r="C104" s="28" t="s">
        <v>109</v>
      </c>
      <c r="D104" s="77" t="s">
        <v>110</v>
      </c>
      <c r="E104" s="151"/>
      <c r="F104" s="153"/>
      <c r="G104" s="16">
        <f t="shared" si="6"/>
        <v>8461738</v>
      </c>
      <c r="H104" s="114">
        <f>3007000-1100000+186000+200000+80000+350000</f>
        <v>2723000</v>
      </c>
      <c r="I104" s="112">
        <f>900000+519567+42686+42925+761000-363440+1496000+2400000+90000-150000</f>
        <v>5738738</v>
      </c>
      <c r="J104" s="49">
        <f t="shared" si="7"/>
        <v>5738738</v>
      </c>
    </row>
    <row r="105" spans="1:10" ht="20.25" customHeight="1">
      <c r="A105" s="37" t="s">
        <v>251</v>
      </c>
      <c r="B105" s="32" t="s">
        <v>252</v>
      </c>
      <c r="C105" s="32" t="s">
        <v>253</v>
      </c>
      <c r="D105" s="71" t="s">
        <v>254</v>
      </c>
      <c r="E105" s="151"/>
      <c r="F105" s="153"/>
      <c r="G105" s="16">
        <f t="shared" si="6"/>
        <v>20000</v>
      </c>
      <c r="H105" s="21"/>
      <c r="I105" s="112">
        <v>20000</v>
      </c>
      <c r="J105" s="49">
        <f t="shared" si="7"/>
        <v>20000</v>
      </c>
    </row>
    <row r="106" spans="1:10" ht="30" customHeight="1">
      <c r="A106" s="131" t="s">
        <v>276</v>
      </c>
      <c r="B106" s="127" t="s">
        <v>274</v>
      </c>
      <c r="C106" s="127" t="s">
        <v>275</v>
      </c>
      <c r="D106" s="100" t="s">
        <v>259</v>
      </c>
      <c r="E106" s="151"/>
      <c r="F106" s="153"/>
      <c r="G106" s="16">
        <f t="shared" si="6"/>
        <v>3360</v>
      </c>
      <c r="H106" s="122">
        <v>3360</v>
      </c>
      <c r="I106" s="22"/>
      <c r="J106" s="49"/>
    </row>
    <row r="107" spans="1:10" ht="26.25" customHeight="1">
      <c r="A107" s="134"/>
      <c r="B107" s="128"/>
      <c r="C107" s="128"/>
      <c r="D107" s="100" t="s">
        <v>260</v>
      </c>
      <c r="E107" s="151"/>
      <c r="F107" s="153"/>
      <c r="G107" s="16">
        <f t="shared" si="6"/>
        <v>4000</v>
      </c>
      <c r="H107" s="122">
        <v>4000</v>
      </c>
      <c r="I107" s="22"/>
      <c r="J107" s="49"/>
    </row>
    <row r="108" spans="1:10" ht="30" customHeight="1">
      <c r="A108" s="131" t="s">
        <v>255</v>
      </c>
      <c r="B108" s="127" t="s">
        <v>252</v>
      </c>
      <c r="C108" s="127" t="s">
        <v>253</v>
      </c>
      <c r="D108" s="100" t="s">
        <v>261</v>
      </c>
      <c r="E108" s="151"/>
      <c r="F108" s="153"/>
      <c r="G108" s="16">
        <f t="shared" si="6"/>
        <v>11165</v>
      </c>
      <c r="H108" s="114">
        <v>11165</v>
      </c>
      <c r="I108" s="22"/>
      <c r="J108" s="49">
        <f t="shared" si="7"/>
        <v>0</v>
      </c>
    </row>
    <row r="109" spans="1:10" ht="30" customHeight="1">
      <c r="A109" s="133"/>
      <c r="B109" s="130"/>
      <c r="C109" s="130"/>
      <c r="D109" s="100" t="s">
        <v>262</v>
      </c>
      <c r="E109" s="151"/>
      <c r="F109" s="153"/>
      <c r="G109" s="16">
        <f t="shared" si="6"/>
        <v>1850</v>
      </c>
      <c r="H109" s="114">
        <v>1850</v>
      </c>
      <c r="I109" s="22"/>
      <c r="J109" s="49"/>
    </row>
    <row r="110" spans="1:10" ht="30" customHeight="1">
      <c r="A110" s="131" t="s">
        <v>258</v>
      </c>
      <c r="B110" s="127" t="s">
        <v>252</v>
      </c>
      <c r="C110" s="127" t="s">
        <v>253</v>
      </c>
      <c r="D110" s="100" t="s">
        <v>263</v>
      </c>
      <c r="E110" s="151"/>
      <c r="F110" s="153"/>
      <c r="G110" s="16">
        <f t="shared" si="6"/>
        <v>1090</v>
      </c>
      <c r="H110" s="114">
        <v>1090</v>
      </c>
      <c r="I110" s="22"/>
      <c r="J110" s="49">
        <f t="shared" si="7"/>
        <v>0</v>
      </c>
    </row>
    <row r="111" spans="1:10" ht="30" customHeight="1">
      <c r="A111" s="132"/>
      <c r="B111" s="129"/>
      <c r="C111" s="129"/>
      <c r="D111" s="100" t="s">
        <v>264</v>
      </c>
      <c r="E111" s="151"/>
      <c r="F111" s="153"/>
      <c r="G111" s="16">
        <f t="shared" si="6"/>
        <v>700</v>
      </c>
      <c r="H111" s="114">
        <v>700</v>
      </c>
      <c r="I111" s="22"/>
      <c r="J111" s="49"/>
    </row>
    <row r="112" spans="1:10" ht="30" customHeight="1">
      <c r="A112" s="133"/>
      <c r="B112" s="130"/>
      <c r="C112" s="130"/>
      <c r="D112" s="100" t="s">
        <v>265</v>
      </c>
      <c r="E112" s="151"/>
      <c r="F112" s="153"/>
      <c r="G112" s="16">
        <f t="shared" si="6"/>
        <v>2120</v>
      </c>
      <c r="H112" s="114">
        <v>2120</v>
      </c>
      <c r="I112" s="22"/>
      <c r="J112" s="49"/>
    </row>
    <row r="113" spans="1:10" ht="17.25" customHeight="1">
      <c r="A113" s="37" t="s">
        <v>256</v>
      </c>
      <c r="B113" s="32" t="s">
        <v>252</v>
      </c>
      <c r="C113" s="32" t="s">
        <v>253</v>
      </c>
      <c r="D113" s="71" t="s">
        <v>254</v>
      </c>
      <c r="E113" s="151"/>
      <c r="F113" s="153"/>
      <c r="G113" s="16">
        <f t="shared" si="6"/>
        <v>200</v>
      </c>
      <c r="H113" s="114">
        <v>200</v>
      </c>
      <c r="I113" s="22"/>
      <c r="J113" s="49">
        <f t="shared" si="7"/>
        <v>0</v>
      </c>
    </row>
    <row r="114" spans="1:10" ht="17.25" customHeight="1">
      <c r="A114" s="37" t="s">
        <v>257</v>
      </c>
      <c r="B114" s="32" t="s">
        <v>252</v>
      </c>
      <c r="C114" s="32" t="s">
        <v>253</v>
      </c>
      <c r="D114" s="71" t="s">
        <v>254</v>
      </c>
      <c r="E114" s="151"/>
      <c r="F114" s="153"/>
      <c r="G114" s="16">
        <f t="shared" si="6"/>
        <v>2260</v>
      </c>
      <c r="H114" s="114">
        <v>2260</v>
      </c>
      <c r="I114" s="22"/>
      <c r="J114" s="49">
        <f t="shared" si="7"/>
        <v>0</v>
      </c>
    </row>
    <row r="115" spans="1:10" ht="16.5" customHeight="1">
      <c r="A115" s="30" t="s">
        <v>228</v>
      </c>
      <c r="B115" s="28" t="s">
        <v>229</v>
      </c>
      <c r="C115" s="28" t="s">
        <v>19</v>
      </c>
      <c r="D115" s="65" t="s">
        <v>230</v>
      </c>
      <c r="E115" s="151"/>
      <c r="F115" s="153"/>
      <c r="G115" s="16">
        <f t="shared" si="6"/>
        <v>794580</v>
      </c>
      <c r="H115" s="75"/>
      <c r="I115" s="121">
        <f>7175844+738891-1850278-2763968+55689-2561598</f>
        <v>794580</v>
      </c>
      <c r="J115" s="49">
        <f t="shared" si="7"/>
        <v>794580</v>
      </c>
    </row>
    <row r="116" spans="1:10" ht="15.75">
      <c r="A116" s="140" t="s">
        <v>106</v>
      </c>
      <c r="B116" s="155"/>
      <c r="C116" s="155"/>
      <c r="D116" s="156"/>
      <c r="E116" s="152"/>
      <c r="F116" s="154"/>
      <c r="G116" s="16">
        <f>G94+G95+G96+G97+G98+G100+G101+G102+G103+G104+G105+G106+G107+G108+G109+G110+G111+G112+G113+G114+G115</f>
        <v>23813814</v>
      </c>
      <c r="H116" s="16">
        <f>H94+H95+H96+H97+H98+H100+H101+H102+H103+H104+H105+H106+H107+H108+H109+H110+H111+H112+H113+H114+H115</f>
        <v>3260745</v>
      </c>
      <c r="I116" s="16">
        <f>I94+I95+I96+I97+I98+I100+I101+I102+I103+I104+I105+I106+I107+I108+I109+I110+I111+I112+I113+I114+I115</f>
        <v>20553069</v>
      </c>
      <c r="J116" s="16">
        <f>J94+J95+J96+J97+J98+J100+J101+J102+J103+J104+J105+J106+J107+J108+J109+J110+J111+J112+J113+J114+J115</f>
        <v>20207069</v>
      </c>
    </row>
    <row r="117" spans="1:11" ht="15.75">
      <c r="A117" s="103" t="s">
        <v>6</v>
      </c>
      <c r="B117" s="13" t="s">
        <v>6</v>
      </c>
      <c r="C117" s="13" t="s">
        <v>6</v>
      </c>
      <c r="D117" s="78" t="s">
        <v>7</v>
      </c>
      <c r="E117" s="15" t="s">
        <v>6</v>
      </c>
      <c r="F117" s="15" t="s">
        <v>6</v>
      </c>
      <c r="G117" s="16">
        <f>G11+G28+G39+G52+G58+G64</f>
        <v>125398105.49000001</v>
      </c>
      <c r="H117" s="16">
        <f>H11+H28+H39+H52+H58+H64</f>
        <v>97350999.49000001</v>
      </c>
      <c r="I117" s="16">
        <f>I11+I28+I39+I52+I58+I64</f>
        <v>28047106</v>
      </c>
      <c r="J117" s="16">
        <f>J11+J28+J39+J52+J58+J64</f>
        <v>27701106</v>
      </c>
      <c r="K117" s="76"/>
    </row>
    <row r="119" ht="44.25" customHeight="1">
      <c r="I119" s="79"/>
    </row>
    <row r="120" spans="1:10" s="85" customFormat="1" ht="20.25">
      <c r="A120" s="106"/>
      <c r="B120" s="80"/>
      <c r="C120" s="80"/>
      <c r="D120" s="81" t="s">
        <v>235</v>
      </c>
      <c r="E120" s="82"/>
      <c r="F120" s="82"/>
      <c r="G120" s="81" t="s">
        <v>236</v>
      </c>
      <c r="H120" s="83"/>
      <c r="I120" s="83"/>
      <c r="J120" s="84"/>
    </row>
    <row r="121" spans="9:11" ht="15">
      <c r="I121" s="123"/>
      <c r="J121" s="124"/>
      <c r="K121" s="125"/>
    </row>
    <row r="122" spans="7:11" ht="15.75">
      <c r="G122" s="86"/>
      <c r="H122" s="87"/>
      <c r="I122" s="126"/>
      <c r="J122" s="135"/>
      <c r="K122" s="136"/>
    </row>
    <row r="123" spans="7:11" ht="15.75">
      <c r="G123" s="86"/>
      <c r="H123" s="87" t="s">
        <v>284</v>
      </c>
      <c r="I123" s="89"/>
      <c r="J123" s="135"/>
      <c r="K123" s="144"/>
    </row>
    <row r="124" spans="7:10" ht="15.75">
      <c r="G124" s="88"/>
      <c r="H124" s="89"/>
      <c r="I124" s="87"/>
      <c r="J124" s="90"/>
    </row>
    <row r="125" spans="7:10" ht="15.75">
      <c r="G125" s="157"/>
      <c r="H125" s="158"/>
      <c r="I125" s="91"/>
      <c r="J125" s="86"/>
    </row>
    <row r="126" spans="7:10" ht="15.75">
      <c r="G126" s="88"/>
      <c r="H126" s="89"/>
      <c r="I126" s="92"/>
      <c r="J126" s="86"/>
    </row>
    <row r="127" spans="7:10" ht="15.75">
      <c r="G127" s="88"/>
      <c r="H127" s="89"/>
      <c r="I127" s="87"/>
      <c r="J127" s="86"/>
    </row>
    <row r="128" spans="7:10" ht="15.75">
      <c r="G128" s="86"/>
      <c r="H128" s="87"/>
      <c r="I128" s="87"/>
      <c r="J128" s="86"/>
    </row>
    <row r="133" s="3" customFormat="1" ht="12.75">
      <c r="I133" s="93"/>
    </row>
  </sheetData>
  <sheetProtection/>
  <mergeCells count="82">
    <mergeCell ref="G1:J1"/>
    <mergeCell ref="G2:J2"/>
    <mergeCell ref="G3:J3"/>
    <mergeCell ref="G4:J4"/>
    <mergeCell ref="G8:G9"/>
    <mergeCell ref="H8:H9"/>
    <mergeCell ref="I8:J8"/>
    <mergeCell ref="A8:A9"/>
    <mergeCell ref="B8:B9"/>
    <mergeCell ref="C8:C9"/>
    <mergeCell ref="D8:D9"/>
    <mergeCell ref="E8:E9"/>
    <mergeCell ref="F8:F9"/>
    <mergeCell ref="A11:C11"/>
    <mergeCell ref="D11:F11"/>
    <mergeCell ref="A12:A15"/>
    <mergeCell ref="B12:B15"/>
    <mergeCell ref="C12:C15"/>
    <mergeCell ref="D12:D15"/>
    <mergeCell ref="A16:D16"/>
    <mergeCell ref="E18:E19"/>
    <mergeCell ref="F18:F19"/>
    <mergeCell ref="E22:E23"/>
    <mergeCell ref="F22:F23"/>
    <mergeCell ref="A28:C28"/>
    <mergeCell ref="D28:F28"/>
    <mergeCell ref="D17:D18"/>
    <mergeCell ref="C17:C18"/>
    <mergeCell ref="B17:B18"/>
    <mergeCell ref="F30:F38"/>
    <mergeCell ref="A38:D38"/>
    <mergeCell ref="A39:C39"/>
    <mergeCell ref="D39:F39"/>
    <mergeCell ref="E41:E44"/>
    <mergeCell ref="F41:F44"/>
    <mergeCell ref="A44:D44"/>
    <mergeCell ref="E29:E38"/>
    <mergeCell ref="A46:A49"/>
    <mergeCell ref="B46:B49"/>
    <mergeCell ref="C46:C49"/>
    <mergeCell ref="D46:E46"/>
    <mergeCell ref="E49:E51"/>
    <mergeCell ref="F49:F51"/>
    <mergeCell ref="D52:F52"/>
    <mergeCell ref="A58:C58"/>
    <mergeCell ref="D58:F58"/>
    <mergeCell ref="A60:A62"/>
    <mergeCell ref="B60:B62"/>
    <mergeCell ref="C60:C62"/>
    <mergeCell ref="D60:D62"/>
    <mergeCell ref="E62:E63"/>
    <mergeCell ref="E53:E55"/>
    <mergeCell ref="F53:F55"/>
    <mergeCell ref="G125:H125"/>
    <mergeCell ref="F62:F63"/>
    <mergeCell ref="A64:F64"/>
    <mergeCell ref="E68:E77"/>
    <mergeCell ref="F68:F77"/>
    <mergeCell ref="A77:D77"/>
    <mergeCell ref="E83:E93"/>
    <mergeCell ref="A67:D67"/>
    <mergeCell ref="E65:E67"/>
    <mergeCell ref="F65:F66"/>
    <mergeCell ref="J122:K122"/>
    <mergeCell ref="F83:F93"/>
    <mergeCell ref="A93:D93"/>
    <mergeCell ref="A82:D82"/>
    <mergeCell ref="J123:K123"/>
    <mergeCell ref="E78:E82"/>
    <mergeCell ref="F78:F82"/>
    <mergeCell ref="E94:E116"/>
    <mergeCell ref="F94:F116"/>
    <mergeCell ref="A116:D116"/>
    <mergeCell ref="B106:B107"/>
    <mergeCell ref="C106:C107"/>
    <mergeCell ref="C110:C112"/>
    <mergeCell ref="B110:B112"/>
    <mergeCell ref="A110:A112"/>
    <mergeCell ref="C108:C109"/>
    <mergeCell ref="B108:B109"/>
    <mergeCell ref="A108:A109"/>
    <mergeCell ref="A106:A107"/>
  </mergeCells>
  <printOptions/>
  <pageMargins left="0.2362204724409449" right="0.1968503937007874" top="0.2755905511811024" bottom="0.1968503937007874" header="0.1968503937007874" footer="0.1968503937007874"/>
  <pageSetup horizontalDpi="600" verticalDpi="600" orientation="landscape" paperSize="9" scale="62" r:id="rId1"/>
  <rowBreaks count="3" manualBreakCount="3">
    <brk id="26" max="9" man="1"/>
    <brk id="55" max="9" man="1"/>
    <brk id="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2019-11-15T12:31:06Z</cp:lastPrinted>
  <dcterms:created xsi:type="dcterms:W3CDTF">2018-12-04T09:08:53Z</dcterms:created>
  <dcterms:modified xsi:type="dcterms:W3CDTF">2019-12-24T09:10:33Z</dcterms:modified>
  <cp:category/>
  <cp:version/>
  <cp:contentType/>
  <cp:contentStatus/>
</cp:coreProperties>
</file>