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3'!$A$1:$P$126</definedName>
  </definedNames>
  <calcPr fullCalcOnLoad="1"/>
</workbook>
</file>

<file path=xl/sharedStrings.xml><?xml version="1.0" encoding="utf-8"?>
<sst xmlns="http://schemas.openxmlformats.org/spreadsheetml/2006/main" count="414" uniqueCount="327">
  <si>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</si>
  <si>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</si>
  <si>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</si>
  <si>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</si>
  <si>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</si>
  <si>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</si>
  <si>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</si>
  <si>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</si>
  <si>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</si>
  <si>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</si>
  <si>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</si>
  <si>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</si>
  <si>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</si>
  <si>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</si>
  <si>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</si>
  <si>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</si>
  <si>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</si>
  <si>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</si>
  <si>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</si>
  <si>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</si>
  <si>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</si>
  <si>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</si>
  <si>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</si>
  <si>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</si>
  <si>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</si>
  <si>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</si>
  <si>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</si>
  <si>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</si>
  <si>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</si>
  <si>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</si>
  <si>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</si>
  <si>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</si>
  <si>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</si>
  <si>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</si>
  <si>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</si>
  <si>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0212146</t>
  </si>
  <si>
    <t>2146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</si>
  <si>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</si>
  <si>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</si>
  <si>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</si>
  <si>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</si>
  <si>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</si>
  <si>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</si>
  <si>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</si>
  <si>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</si>
  <si>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</si>
  <si>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</si>
  <si>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</si>
  <si>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</si>
  <si>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</si>
  <si>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</si>
  <si>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</si>
  <si>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</si>
  <si>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</si>
  <si>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</si>
  <si>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</si>
  <si>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</si>
  <si>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</si>
  <si>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</si>
  <si>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</si>
  <si>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</si>
  <si>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</si>
  <si>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</si>
  <si>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</si>
  <si>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</si>
  <si>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</si>
  <si>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</si>
  <si>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</si>
  <si>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</si>
  <si>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</si>
  <si>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</si>
  <si>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</si>
  <si>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</si>
  <si>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</si>
  <si>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</si>
  <si>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</si>
  <si>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</si>
  <si>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</si>
  <si>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</si>
  <si>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</si>
  <si>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</si>
  <si>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</si>
  <si>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</si>
  <si>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</si>
  <si>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</si>
  <si>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</si>
  <si>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</si>
  <si>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</si>
  <si>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</si>
  <si>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</si>
  <si>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</si>
  <si>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</si>
  <si>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</si>
  <si>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</si>
  <si>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</si>
  <si>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</si>
  <si>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</si>
  <si>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</si>
  <si>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</si>
  <si>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</si>
  <si>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</si>
  <si>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</si>
  <si>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</si>
  <si>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</si>
  <si>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</si>
  <si>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0216012</t>
  </si>
  <si>
    <t>6012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</si>
  <si>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</si>
  <si>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</si>
  <si>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</si>
  <si>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</si>
  <si>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</si>
  <si>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</si>
  <si>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</si>
  <si>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</si>
  <si>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</si>
  <si>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</si>
  <si>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</si>
  <si>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</si>
  <si>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</si>
  <si>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</si>
  <si>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</si>
  <si>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</si>
  <si>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</si>
  <si>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</si>
  <si>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</si>
  <si>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</si>
  <si>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</si>
  <si>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</si>
  <si>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</si>
  <si>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</si>
  <si>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</si>
  <si>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</si>
  <si>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</si>
  <si>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</si>
  <si>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</si>
  <si>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</si>
  <si>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</si>
  <si>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</si>
  <si>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</si>
  <si>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</si>
  <si>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</si>
  <si>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</si>
  <si>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</si>
  <si>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</si>
  <si>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</si>
  <si>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</si>
  <si>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</si>
  <si>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</si>
  <si>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</si>
  <si>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</si>
  <si>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</si>
  <si>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</si>
  <si>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</si>
  <si>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</si>
  <si>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</si>
  <si>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</si>
  <si>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</si>
  <si>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</si>
  <si>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</si>
  <si>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</si>
  <si>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</si>
  <si>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</si>
  <si>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</si>
  <si>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</si>
  <si>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</si>
  <si>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</si>
  <si>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</si>
  <si>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</si>
  <si>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</si>
  <si>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</si>
  <si>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</si>
  <si>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</si>
  <si>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</si>
  <si>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</si>
  <si>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</si>
  <si>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</si>
  <si>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</si>
  <si>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</si>
  <si>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</si>
  <si>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</si>
  <si>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</si>
  <si>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</si>
  <si>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</si>
  <si>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</si>
  <si>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</si>
  <si>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</si>
  <si>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</si>
  <si>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</si>
  <si>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</si>
  <si>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</si>
  <si>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</si>
  <si>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</si>
  <si>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</si>
  <si>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</si>
  <si>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</si>
  <si>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</si>
  <si>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</si>
  <si>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</si>
  <si>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</si>
  <si>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</si>
  <si>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</si>
  <si>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</si>
  <si>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</si>
  <si>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</si>
  <si>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</si>
  <si>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</si>
  <si>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</si>
  <si>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</si>
  <si>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</si>
  <si>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</si>
  <si>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</si>
  <si>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</si>
  <si>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</si>
  <si>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</si>
  <si>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</si>
  <si>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</si>
  <si>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</si>
  <si>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</si>
  <si>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</si>
  <si>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</si>
  <si>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</si>
  <si>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</si>
  <si>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</si>
  <si>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</si>
  <si>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</si>
  <si>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</si>
  <si>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</si>
  <si>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</si>
  <si>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</si>
  <si>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</si>
  <si>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</si>
  <si>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</si>
  <si>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</si>
  <si>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</si>
  <si>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</si>
  <si>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</si>
  <si>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</si>
  <si>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</si>
  <si>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</si>
  <si>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</si>
  <si>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</si>
  <si>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</si>
  <si>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</si>
  <si>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</si>
  <si>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</si>
  <si>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</si>
  <si>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</si>
  <si>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</si>
  <si>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</si>
  <si>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Бухгалтерія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</si>
  <si>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</si>
  <si>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</si>
  <si>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</si>
  <si>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</si>
  <si>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</si>
  <si>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</si>
  <si>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</si>
  <si>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</si>
  <si>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</si>
  <si>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</si>
  <si>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</si>
  <si>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</si>
  <si>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</si>
  <si>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</si>
  <si>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</si>
  <si>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</si>
  <si>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</si>
  <si>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</si>
  <si>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</si>
  <si>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</si>
  <si>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</si>
  <si>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</si>
  <si>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</si>
  <si>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</si>
  <si>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>видатків місцевого бюджету на 2019 рік</t>
  </si>
  <si>
    <t xml:space="preserve">Разом </t>
  </si>
  <si>
    <t>0813084</t>
  </si>
  <si>
    <t>3084</t>
  </si>
  <si>
    <t>Надання тимчасової державної соціальної допомоги непрацюючій особі, яка досягла загального пернісного віку, але не набула права на пенсійну виплату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</si>
  <si>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</si>
  <si>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</si>
  <si>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 xml:space="preserve">Виконання інвестиційних пректів в рамках реалізації заходів, спрямованих на розвиток системи охорони здоровя у сільській місцевості </t>
  </si>
  <si>
    <t>0218410</t>
  </si>
  <si>
    <t>8410</t>
  </si>
  <si>
    <t>0830</t>
  </si>
  <si>
    <t>Фінансова підтримка засобів масової інформації</t>
  </si>
  <si>
    <t>9000</t>
  </si>
  <si>
    <t>9310</t>
  </si>
  <si>
    <t>9770</t>
  </si>
  <si>
    <t>Міжбюджетні трансферти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</si>
  <si>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</si>
  <si>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</t>
  </si>
  <si>
    <t>3719000</t>
  </si>
  <si>
    <t>3719310</t>
  </si>
  <si>
    <t>3719770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</si>
  <si>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</si>
  <si>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</si>
  <si>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</si>
  <si>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</si>
  <si>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</si>
  <si>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</si>
  <si>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</si>
  <si>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</si>
  <si>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6090</t>
  </si>
  <si>
    <t>0640</t>
  </si>
  <si>
    <t>0216090</t>
  </si>
  <si>
    <t>Інша діяльність у сфері житлово-комунального господарства</t>
  </si>
  <si>
    <t>1170</t>
  </si>
  <si>
    <t>0611170</t>
  </si>
  <si>
    <t>Забезпечення діяльності інклюзивно-ресурсних центрів</t>
  </si>
  <si>
    <t>0813049</t>
  </si>
  <si>
    <t>3049</t>
  </si>
  <si>
    <t>Відшкодування послуги з догляду за дитиною до трьох років "муніципальна няня"</t>
  </si>
  <si>
    <t>0813087</t>
  </si>
  <si>
    <t>3087</t>
  </si>
  <si>
    <t>Надання допомоги на дітей, які виховуються у багатодітних сім'ях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</si>
  <si>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</si>
  <si>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</si>
  <si>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</si>
  <si>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 xml:space="preserve"> 6-й додаток</t>
  </si>
  <si>
    <t xml:space="preserve">Міський голова </t>
  </si>
  <si>
    <t>В.Г.Тимченко</t>
  </si>
  <si>
    <t>3086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</si>
  <si>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</si>
  <si>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</si>
  <si>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від  26.07.2019  № 802-71-VII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</si>
</sst>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_-;\-* #,##0_-;_-* &quot;-&quot;_-;_-@_-"/>
    <numFmt numFmtId="186" formatCode="_-* #,##0.00\ &quot;₽&quot;_-;\-* #,##0.00\ &quot;₽&quot;_-;_-* &quot;-&quot;??\ &quot;₽&quot;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 quotePrefix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5" fillId="24" borderId="1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79" fontId="30" fillId="0" borderId="0" xfId="59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9" fontId="31" fillId="0" borderId="10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8" fillId="2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5"/>
  <sheetViews>
    <sheetView tabSelected="1" view="pageBreakPreview" zoomScaleSheetLayoutView="100" workbookViewId="0" topLeftCell="E1">
      <selection activeCell="K6" sqref="K6"/>
    </sheetView>
  </sheetViews>
  <sheetFormatPr defaultColWidth="9.00390625" defaultRowHeight="12.75"/>
  <cols>
    <col min="1" max="1" width="9.375" style="24" customWidth="1"/>
    <col min="2" max="3" width="9.625" style="24" customWidth="1"/>
    <col min="4" max="4" width="72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2:16" ht="13.5" customHeight="1">
      <c r="B2" s="26"/>
      <c r="C2" s="26"/>
      <c r="D2" s="26"/>
      <c r="K2" s="69" t="s">
        <v>6</v>
      </c>
      <c r="L2" s="70"/>
      <c r="M2" s="70"/>
      <c r="N2" s="70"/>
      <c r="O2" s="70"/>
      <c r="P2" s="70"/>
    </row>
    <row r="3" spans="2:16" ht="14.25" customHeight="1">
      <c r="B3" s="26"/>
      <c r="C3" s="26"/>
      <c r="D3" s="26"/>
      <c r="K3" s="72" t="s">
        <v>280</v>
      </c>
      <c r="L3" s="70"/>
      <c r="M3" s="70"/>
      <c r="N3" s="70"/>
      <c r="O3" s="70"/>
      <c r="P3" s="70"/>
    </row>
    <row r="4" spans="2:16" ht="13.5" customHeight="1">
      <c r="B4" s="26"/>
      <c r="C4" s="26"/>
      <c r="D4" s="26"/>
      <c r="K4" s="72" t="s">
        <v>281</v>
      </c>
      <c r="L4" s="70"/>
      <c r="M4" s="70"/>
      <c r="N4" s="70"/>
      <c r="O4" s="70"/>
      <c r="P4" s="70"/>
    </row>
    <row r="5" spans="1:16" ht="14.25" customHeight="1">
      <c r="A5" s="26"/>
      <c r="B5" s="26"/>
      <c r="C5" s="26"/>
      <c r="D5" s="26"/>
      <c r="K5" s="71" t="s">
        <v>326</v>
      </c>
      <c r="L5" s="70"/>
      <c r="M5" s="70"/>
      <c r="N5" s="70"/>
      <c r="O5" s="70"/>
      <c r="P5" s="70"/>
    </row>
    <row r="6" spans="1:4" ht="12.75">
      <c r="A6" s="26"/>
      <c r="B6" s="26"/>
      <c r="C6" s="26"/>
      <c r="D6" s="26"/>
    </row>
    <row r="7" spans="1:16" ht="18.75">
      <c r="A7" s="73" t="s">
        <v>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8.75">
      <c r="A8" s="73" t="s">
        <v>275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10" spans="1:16" ht="12.75">
      <c r="A10" s="1"/>
      <c r="P10" s="1" t="s">
        <v>0</v>
      </c>
    </row>
    <row r="11" spans="1:16" ht="32.25" customHeight="1">
      <c r="A11" s="62" t="s">
        <v>8</v>
      </c>
      <c r="B11" s="62" t="s">
        <v>9</v>
      </c>
      <c r="C11" s="62" t="s">
        <v>302</v>
      </c>
      <c r="D11" s="64" t="s">
        <v>303</v>
      </c>
      <c r="E11" s="62" t="s">
        <v>1</v>
      </c>
      <c r="F11" s="62"/>
      <c r="G11" s="62"/>
      <c r="H11" s="62"/>
      <c r="I11" s="62"/>
      <c r="J11" s="62" t="s">
        <v>2</v>
      </c>
      <c r="K11" s="62"/>
      <c r="L11" s="62"/>
      <c r="M11" s="62"/>
      <c r="N11" s="62"/>
      <c r="O11" s="62"/>
      <c r="P11" s="63" t="s">
        <v>5</v>
      </c>
    </row>
    <row r="12" spans="1:16" ht="22.5" customHeight="1">
      <c r="A12" s="62"/>
      <c r="B12" s="62"/>
      <c r="C12" s="62"/>
      <c r="D12" s="65"/>
      <c r="E12" s="63" t="s">
        <v>3</v>
      </c>
      <c r="F12" s="62" t="s">
        <v>10</v>
      </c>
      <c r="G12" s="62" t="s">
        <v>11</v>
      </c>
      <c r="H12" s="62"/>
      <c r="I12" s="62" t="s">
        <v>12</v>
      </c>
      <c r="J12" s="63" t="s">
        <v>3</v>
      </c>
      <c r="K12" s="63" t="s">
        <v>4</v>
      </c>
      <c r="L12" s="62" t="s">
        <v>10</v>
      </c>
      <c r="M12" s="62" t="s">
        <v>11</v>
      </c>
      <c r="N12" s="62"/>
      <c r="O12" s="62" t="s">
        <v>12</v>
      </c>
      <c r="P12" s="63"/>
    </row>
    <row r="13" spans="1:16" ht="23.25" customHeight="1">
      <c r="A13" s="62"/>
      <c r="B13" s="62"/>
      <c r="C13" s="62"/>
      <c r="D13" s="65"/>
      <c r="E13" s="63"/>
      <c r="F13" s="62"/>
      <c r="G13" s="62" t="s">
        <v>13</v>
      </c>
      <c r="H13" s="62" t="s">
        <v>14</v>
      </c>
      <c r="I13" s="62"/>
      <c r="J13" s="63"/>
      <c r="K13" s="63"/>
      <c r="L13" s="62"/>
      <c r="M13" s="62" t="s">
        <v>13</v>
      </c>
      <c r="N13" s="62" t="s">
        <v>14</v>
      </c>
      <c r="O13" s="62"/>
      <c r="P13" s="63"/>
    </row>
    <row r="14" spans="1:16" ht="20.25" customHeight="1">
      <c r="A14" s="62"/>
      <c r="B14" s="62"/>
      <c r="C14" s="62"/>
      <c r="D14" s="66"/>
      <c r="E14" s="63"/>
      <c r="F14" s="62"/>
      <c r="G14" s="62"/>
      <c r="H14" s="62"/>
      <c r="I14" s="62"/>
      <c r="J14" s="63"/>
      <c r="K14" s="63"/>
      <c r="L14" s="62"/>
      <c r="M14" s="62"/>
      <c r="N14" s="62"/>
      <c r="O14" s="62"/>
      <c r="P14" s="63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9">
        <v>5</v>
      </c>
      <c r="F15" s="22">
        <v>6</v>
      </c>
      <c r="G15" s="22">
        <v>7</v>
      </c>
      <c r="H15" s="22">
        <v>8</v>
      </c>
      <c r="I15" s="22">
        <v>9</v>
      </c>
      <c r="J15" s="39">
        <v>10</v>
      </c>
      <c r="K15" s="39">
        <v>11</v>
      </c>
      <c r="L15" s="22">
        <v>12</v>
      </c>
      <c r="M15" s="22">
        <v>13</v>
      </c>
      <c r="N15" s="22">
        <v>14</v>
      </c>
      <c r="O15" s="22">
        <v>15</v>
      </c>
      <c r="P15" s="39">
        <v>16</v>
      </c>
    </row>
    <row r="16" spans="1:16" ht="15.75">
      <c r="A16" s="9" t="s">
        <v>15</v>
      </c>
      <c r="B16" s="27"/>
      <c r="C16" s="27"/>
      <c r="D16" s="10" t="s">
        <v>16</v>
      </c>
      <c r="E16" s="40">
        <f aca="true" t="shared" si="0" ref="E16:P16">E17+E20+E26+E30+E37+E43</f>
        <v>53178653</v>
      </c>
      <c r="F16" s="25">
        <f t="shared" si="0"/>
        <v>53178653</v>
      </c>
      <c r="G16" s="25">
        <f t="shared" si="0"/>
        <v>8723000</v>
      </c>
      <c r="H16" s="25">
        <f t="shared" si="0"/>
        <v>498000</v>
      </c>
      <c r="I16" s="25">
        <f t="shared" si="0"/>
        <v>0</v>
      </c>
      <c r="J16" s="40">
        <f>K16+L16+O16</f>
        <v>8173058</v>
      </c>
      <c r="K16" s="40">
        <f t="shared" si="0"/>
        <v>8163058</v>
      </c>
      <c r="L16" s="25">
        <f t="shared" si="0"/>
        <v>10000</v>
      </c>
      <c r="M16" s="25">
        <f t="shared" si="0"/>
        <v>0</v>
      </c>
      <c r="N16" s="25">
        <f t="shared" si="0"/>
        <v>0</v>
      </c>
      <c r="O16" s="25">
        <f t="shared" si="0"/>
        <v>0</v>
      </c>
      <c r="P16" s="40">
        <f t="shared" si="0"/>
        <v>61351711</v>
      </c>
    </row>
    <row r="17" spans="1:16" s="28" customFormat="1" ht="17.25" customHeight="1">
      <c r="A17" s="2" t="s">
        <v>78</v>
      </c>
      <c r="B17" s="3" t="s">
        <v>79</v>
      </c>
      <c r="C17" s="4"/>
      <c r="D17" s="11" t="s">
        <v>80</v>
      </c>
      <c r="E17" s="40">
        <f>E18+E19</f>
        <v>16969891</v>
      </c>
      <c r="F17" s="25">
        <f aca="true" t="shared" si="1" ref="F17:P17">F18+F19</f>
        <v>16969891</v>
      </c>
      <c r="G17" s="25">
        <f t="shared" si="1"/>
        <v>8723000</v>
      </c>
      <c r="H17" s="25">
        <f t="shared" si="1"/>
        <v>498000</v>
      </c>
      <c r="I17" s="25">
        <f t="shared" si="1"/>
        <v>0</v>
      </c>
      <c r="J17" s="40">
        <f aca="true" t="shared" si="2" ref="J17:J88">K17+L17+O17</f>
        <v>557112</v>
      </c>
      <c r="K17" s="40">
        <f t="shared" si="1"/>
        <v>547112</v>
      </c>
      <c r="L17" s="25">
        <f t="shared" si="1"/>
        <v>10000</v>
      </c>
      <c r="M17" s="25">
        <f t="shared" si="1"/>
        <v>0</v>
      </c>
      <c r="N17" s="25">
        <f t="shared" si="1"/>
        <v>0</v>
      </c>
      <c r="O17" s="25">
        <v>0</v>
      </c>
      <c r="P17" s="40">
        <f t="shared" si="1"/>
        <v>17527003</v>
      </c>
    </row>
    <row r="18" spans="1:16" ht="31.5">
      <c r="A18" s="5" t="s">
        <v>81</v>
      </c>
      <c r="B18" s="6" t="s">
        <v>82</v>
      </c>
      <c r="C18" s="6" t="s">
        <v>83</v>
      </c>
      <c r="D18" s="17" t="s">
        <v>84</v>
      </c>
      <c r="E18" s="39">
        <f>15110000+650000+199500</f>
        <v>15959500</v>
      </c>
      <c r="F18" s="22">
        <f aca="true" t="shared" si="3" ref="F18:F79">E18</f>
        <v>15959500</v>
      </c>
      <c r="G18" s="22">
        <v>8723000</v>
      </c>
      <c r="H18" s="22">
        <f>428000+50000+20000</f>
        <v>498000</v>
      </c>
      <c r="I18" s="22"/>
      <c r="J18" s="40">
        <f t="shared" si="2"/>
        <v>10000</v>
      </c>
      <c r="K18" s="39"/>
      <c r="L18" s="22">
        <v>10000</v>
      </c>
      <c r="M18" s="22"/>
      <c r="N18" s="22"/>
      <c r="O18" s="22"/>
      <c r="P18" s="39">
        <f aca="true" t="shared" si="4" ref="P18:P79">E18+J18</f>
        <v>15969500</v>
      </c>
    </row>
    <row r="19" spans="1:18" ht="15.75">
      <c r="A19" s="5" t="s">
        <v>18</v>
      </c>
      <c r="B19" s="6" t="s">
        <v>19</v>
      </c>
      <c r="C19" s="6" t="s">
        <v>20</v>
      </c>
      <c r="D19" s="12" t="s">
        <v>17</v>
      </c>
      <c r="E19" s="39">
        <f>435000+231910+315000+28481</f>
        <v>1010391</v>
      </c>
      <c r="F19" s="22">
        <f t="shared" si="3"/>
        <v>1010391</v>
      </c>
      <c r="G19" s="22"/>
      <c r="H19" s="22"/>
      <c r="I19" s="22"/>
      <c r="J19" s="40">
        <f t="shared" si="2"/>
        <v>547112</v>
      </c>
      <c r="K19" s="39">
        <f>199900+209671+137541</f>
        <v>547112</v>
      </c>
      <c r="L19" s="22"/>
      <c r="M19" s="22"/>
      <c r="N19" s="22"/>
      <c r="O19" s="22">
        <v>0</v>
      </c>
      <c r="P19" s="39">
        <f t="shared" si="4"/>
        <v>1557503</v>
      </c>
      <c r="Q19" s="24">
        <v>861810</v>
      </c>
      <c r="R19" s="24">
        <f>P19-Q19</f>
        <v>695693</v>
      </c>
    </row>
    <row r="20" spans="1:16" s="28" customFormat="1" ht="15.75">
      <c r="A20" s="2" t="s">
        <v>85</v>
      </c>
      <c r="B20" s="3" t="s">
        <v>86</v>
      </c>
      <c r="C20" s="4"/>
      <c r="D20" s="11" t="s">
        <v>87</v>
      </c>
      <c r="E20" s="40">
        <f>E21+E22</f>
        <v>21811364</v>
      </c>
      <c r="F20" s="25">
        <f aca="true" t="shared" si="5" ref="F20:P20">F21+F22</f>
        <v>21811364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40">
        <f t="shared" si="2"/>
        <v>477042</v>
      </c>
      <c r="K20" s="40">
        <f t="shared" si="5"/>
        <v>477042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40">
        <f t="shared" si="5"/>
        <v>22288406</v>
      </c>
    </row>
    <row r="21" spans="1:16" ht="15.75">
      <c r="A21" s="5" t="s">
        <v>21</v>
      </c>
      <c r="B21" s="6" t="s">
        <v>30</v>
      </c>
      <c r="C21" s="6" t="s">
        <v>31</v>
      </c>
      <c r="D21" s="15" t="s">
        <v>22</v>
      </c>
      <c r="E21" s="39">
        <f>19335600-100000+323922+400000+560000+115000+1442+530000</f>
        <v>21165964</v>
      </c>
      <c r="F21" s="22">
        <f t="shared" si="3"/>
        <v>21165964</v>
      </c>
      <c r="G21" s="22"/>
      <c r="H21" s="22"/>
      <c r="I21" s="22"/>
      <c r="J21" s="40">
        <f t="shared" si="2"/>
        <v>477042</v>
      </c>
      <c r="K21" s="39">
        <f>300000+18500+141542+17000</f>
        <v>477042</v>
      </c>
      <c r="L21" s="22"/>
      <c r="M21" s="22"/>
      <c r="N21" s="22"/>
      <c r="O21" s="22">
        <v>0</v>
      </c>
      <c r="P21" s="39">
        <f t="shared" si="4"/>
        <v>21643006</v>
      </c>
    </row>
    <row r="22" spans="1:16" s="28" customFormat="1" ht="15.75">
      <c r="A22" s="7" t="s">
        <v>88</v>
      </c>
      <c r="B22" s="8" t="s">
        <v>89</v>
      </c>
      <c r="C22" s="8"/>
      <c r="D22" s="23" t="s">
        <v>90</v>
      </c>
      <c r="E22" s="40">
        <f>E23+E24+E25</f>
        <v>645400</v>
      </c>
      <c r="F22" s="25">
        <f aca="true" t="shared" si="6" ref="F22:P22">F23+F24+F25</f>
        <v>645400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40">
        <f t="shared" si="2"/>
        <v>0</v>
      </c>
      <c r="K22" s="40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40">
        <f t="shared" si="6"/>
        <v>645400</v>
      </c>
    </row>
    <row r="23" spans="1:16" ht="31.5">
      <c r="A23" s="51" t="s">
        <v>91</v>
      </c>
      <c r="B23" s="52" t="s">
        <v>92</v>
      </c>
      <c r="C23" s="52" t="s">
        <v>93</v>
      </c>
      <c r="D23" s="53" t="s">
        <v>94</v>
      </c>
      <c r="E23" s="39">
        <f>100000+75000</f>
        <v>175000</v>
      </c>
      <c r="F23" s="22">
        <f t="shared" si="3"/>
        <v>175000</v>
      </c>
      <c r="G23" s="22"/>
      <c r="H23" s="22"/>
      <c r="I23" s="22"/>
      <c r="J23" s="40">
        <f t="shared" si="2"/>
        <v>0</v>
      </c>
      <c r="K23" s="39"/>
      <c r="L23" s="22"/>
      <c r="M23" s="22"/>
      <c r="N23" s="22"/>
      <c r="O23" s="22"/>
      <c r="P23" s="39">
        <f t="shared" si="4"/>
        <v>175000</v>
      </c>
    </row>
    <row r="24" spans="1:16" ht="31.5">
      <c r="A24" s="5" t="s">
        <v>32</v>
      </c>
      <c r="B24" s="6" t="s">
        <v>33</v>
      </c>
      <c r="C24" s="6" t="s">
        <v>34</v>
      </c>
      <c r="D24" s="54" t="s">
        <v>23</v>
      </c>
      <c r="E24" s="39">
        <v>380100</v>
      </c>
      <c r="F24" s="22">
        <f t="shared" si="3"/>
        <v>380100</v>
      </c>
      <c r="G24" s="22"/>
      <c r="H24" s="22"/>
      <c r="I24" s="22"/>
      <c r="J24" s="40">
        <f t="shared" si="2"/>
        <v>0</v>
      </c>
      <c r="K24" s="39"/>
      <c r="L24" s="22"/>
      <c r="M24" s="22"/>
      <c r="N24" s="22"/>
      <c r="O24" s="22"/>
      <c r="P24" s="39">
        <f t="shared" si="4"/>
        <v>380100</v>
      </c>
    </row>
    <row r="25" spans="1:16" ht="31.5">
      <c r="A25" s="5" t="s">
        <v>35</v>
      </c>
      <c r="B25" s="6" t="s">
        <v>36</v>
      </c>
      <c r="C25" s="6" t="s">
        <v>34</v>
      </c>
      <c r="D25" s="12" t="s">
        <v>24</v>
      </c>
      <c r="E25" s="39">
        <v>90300</v>
      </c>
      <c r="F25" s="22">
        <f t="shared" si="3"/>
        <v>90300</v>
      </c>
      <c r="G25" s="22"/>
      <c r="H25" s="22"/>
      <c r="I25" s="22"/>
      <c r="J25" s="40">
        <f t="shared" si="2"/>
        <v>0</v>
      </c>
      <c r="K25" s="39"/>
      <c r="L25" s="22"/>
      <c r="M25" s="22"/>
      <c r="N25" s="22"/>
      <c r="O25" s="22"/>
      <c r="P25" s="39">
        <f t="shared" si="4"/>
        <v>90300</v>
      </c>
    </row>
    <row r="26" spans="1:16" s="28" customFormat="1" ht="15.75">
      <c r="A26" s="2" t="s">
        <v>95</v>
      </c>
      <c r="B26" s="3" t="s">
        <v>96</v>
      </c>
      <c r="C26" s="4"/>
      <c r="D26" s="14" t="s">
        <v>97</v>
      </c>
      <c r="E26" s="40">
        <f>E27+E28+E29</f>
        <v>1841200</v>
      </c>
      <c r="F26" s="25">
        <f aca="true" t="shared" si="7" ref="F26:P26">F27+F28+F29</f>
        <v>1841200</v>
      </c>
      <c r="G26" s="25">
        <f t="shared" si="7"/>
        <v>0</v>
      </c>
      <c r="H26" s="25">
        <f t="shared" si="7"/>
        <v>0</v>
      </c>
      <c r="I26" s="25">
        <f t="shared" si="7"/>
        <v>0</v>
      </c>
      <c r="J26" s="40">
        <f t="shared" si="2"/>
        <v>0</v>
      </c>
      <c r="K26" s="40">
        <f t="shared" si="7"/>
        <v>0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40">
        <f t="shared" si="7"/>
        <v>1841200</v>
      </c>
    </row>
    <row r="27" spans="1:16" ht="31.5">
      <c r="A27" s="5" t="s">
        <v>98</v>
      </c>
      <c r="B27" s="6" t="s">
        <v>99</v>
      </c>
      <c r="C27" s="6" t="s">
        <v>100</v>
      </c>
      <c r="D27" s="15" t="s">
        <v>101</v>
      </c>
      <c r="E27" s="45">
        <v>1321200</v>
      </c>
      <c r="F27" s="22">
        <f t="shared" si="3"/>
        <v>1321200</v>
      </c>
      <c r="G27" s="29"/>
      <c r="H27" s="29"/>
      <c r="I27" s="29"/>
      <c r="J27" s="40">
        <f t="shared" si="2"/>
        <v>0</v>
      </c>
      <c r="K27" s="41"/>
      <c r="L27" s="29"/>
      <c r="M27" s="29"/>
      <c r="N27" s="29"/>
      <c r="O27" s="29"/>
      <c r="P27" s="39">
        <f t="shared" si="4"/>
        <v>1321200</v>
      </c>
    </row>
    <row r="28" spans="1:16" ht="15.75">
      <c r="A28" s="5" t="s">
        <v>37</v>
      </c>
      <c r="B28" s="6" t="s">
        <v>38</v>
      </c>
      <c r="C28" s="6" t="s">
        <v>39</v>
      </c>
      <c r="D28" s="15" t="s">
        <v>25</v>
      </c>
      <c r="E28" s="45">
        <v>120000</v>
      </c>
      <c r="F28" s="22">
        <f t="shared" si="3"/>
        <v>120000</v>
      </c>
      <c r="G28" s="29"/>
      <c r="H28" s="29"/>
      <c r="I28" s="29"/>
      <c r="J28" s="40">
        <f t="shared" si="2"/>
        <v>0</v>
      </c>
      <c r="K28" s="41"/>
      <c r="L28" s="29"/>
      <c r="M28" s="29"/>
      <c r="N28" s="29"/>
      <c r="O28" s="29"/>
      <c r="P28" s="39">
        <f t="shared" si="4"/>
        <v>120000</v>
      </c>
    </row>
    <row r="29" spans="1:16" ht="47.25">
      <c r="A29" s="5" t="s">
        <v>40</v>
      </c>
      <c r="B29" s="6" t="s">
        <v>41</v>
      </c>
      <c r="C29" s="6" t="s">
        <v>39</v>
      </c>
      <c r="D29" s="12" t="s">
        <v>26</v>
      </c>
      <c r="E29" s="45">
        <f>400000</f>
        <v>400000</v>
      </c>
      <c r="F29" s="22">
        <f t="shared" si="3"/>
        <v>400000</v>
      </c>
      <c r="G29" s="29"/>
      <c r="H29" s="29"/>
      <c r="I29" s="29"/>
      <c r="J29" s="40">
        <f t="shared" si="2"/>
        <v>0</v>
      </c>
      <c r="K29" s="41"/>
      <c r="L29" s="29"/>
      <c r="M29" s="29"/>
      <c r="N29" s="29"/>
      <c r="O29" s="29"/>
      <c r="P29" s="39">
        <f t="shared" si="4"/>
        <v>400000</v>
      </c>
    </row>
    <row r="30" spans="1:16" ht="15.75">
      <c r="A30" s="2" t="s">
        <v>102</v>
      </c>
      <c r="B30" s="3" t="s">
        <v>103</v>
      </c>
      <c r="C30" s="4"/>
      <c r="D30" s="14" t="s">
        <v>104</v>
      </c>
      <c r="E30" s="42">
        <f>E31+E32+E33+E34+E35+E36</f>
        <v>9995293</v>
      </c>
      <c r="F30" s="42">
        <f aca="true" t="shared" si="8" ref="F30:P30">F31+F32+F33+F34+F35+F36</f>
        <v>9995293</v>
      </c>
      <c r="G30" s="42">
        <f t="shared" si="8"/>
        <v>0</v>
      </c>
      <c r="H30" s="42">
        <f t="shared" si="8"/>
        <v>0</v>
      </c>
      <c r="I30" s="42">
        <f t="shared" si="8"/>
        <v>0</v>
      </c>
      <c r="J30" s="42">
        <f t="shared" si="8"/>
        <v>2264126</v>
      </c>
      <c r="K30" s="42">
        <f t="shared" si="8"/>
        <v>2264126</v>
      </c>
      <c r="L30" s="42">
        <f t="shared" si="8"/>
        <v>0</v>
      </c>
      <c r="M30" s="42">
        <f t="shared" si="8"/>
        <v>0</v>
      </c>
      <c r="N30" s="42">
        <f t="shared" si="8"/>
        <v>0</v>
      </c>
      <c r="O30" s="42">
        <f t="shared" si="8"/>
        <v>0</v>
      </c>
      <c r="P30" s="42">
        <f t="shared" si="8"/>
        <v>12259419</v>
      </c>
    </row>
    <row r="31" spans="1:16" ht="30" customHeight="1">
      <c r="A31" s="5" t="s">
        <v>105</v>
      </c>
      <c r="B31" s="6" t="s">
        <v>106</v>
      </c>
      <c r="C31" s="6" t="s">
        <v>44</v>
      </c>
      <c r="D31" s="12" t="s">
        <v>107</v>
      </c>
      <c r="E31" s="45">
        <f>34000+5000</f>
        <v>39000</v>
      </c>
      <c r="F31" s="22">
        <f t="shared" si="3"/>
        <v>39000</v>
      </c>
      <c r="G31" s="29"/>
      <c r="H31" s="29"/>
      <c r="I31" s="29"/>
      <c r="J31" s="40">
        <f t="shared" si="2"/>
        <v>0</v>
      </c>
      <c r="K31" s="41"/>
      <c r="L31" s="29"/>
      <c r="M31" s="29"/>
      <c r="N31" s="29"/>
      <c r="O31" s="29"/>
      <c r="P31" s="39">
        <f t="shared" si="4"/>
        <v>39000</v>
      </c>
    </row>
    <row r="32" spans="1:16" ht="15.75">
      <c r="A32" s="5" t="s">
        <v>108</v>
      </c>
      <c r="B32" s="6" t="s">
        <v>109</v>
      </c>
      <c r="C32" s="6" t="s">
        <v>44</v>
      </c>
      <c r="D32" s="12" t="s">
        <v>110</v>
      </c>
      <c r="E32" s="41">
        <f>156000+50000+50000</f>
        <v>256000</v>
      </c>
      <c r="F32" s="22">
        <f t="shared" si="3"/>
        <v>256000</v>
      </c>
      <c r="G32" s="29"/>
      <c r="H32" s="29"/>
      <c r="I32" s="29"/>
      <c r="J32" s="40">
        <f t="shared" si="2"/>
        <v>1784846</v>
      </c>
      <c r="K32" s="41">
        <f>140000+1644846</f>
        <v>1784846</v>
      </c>
      <c r="L32" s="29"/>
      <c r="M32" s="29"/>
      <c r="N32" s="29"/>
      <c r="O32" s="29">
        <v>0</v>
      </c>
      <c r="P32" s="39">
        <f t="shared" si="4"/>
        <v>2040846</v>
      </c>
    </row>
    <row r="33" spans="1:21" ht="31.5">
      <c r="A33" s="5" t="s">
        <v>111</v>
      </c>
      <c r="B33" s="6" t="s">
        <v>112</v>
      </c>
      <c r="C33" s="6" t="s">
        <v>44</v>
      </c>
      <c r="D33" s="17" t="s">
        <v>113</v>
      </c>
      <c r="E33" s="41">
        <f>125000+30000+29000+3000</f>
        <v>187000</v>
      </c>
      <c r="F33" s="22">
        <f t="shared" si="3"/>
        <v>187000</v>
      </c>
      <c r="G33" s="29"/>
      <c r="H33" s="29"/>
      <c r="I33" s="29"/>
      <c r="J33" s="40">
        <f t="shared" si="2"/>
        <v>0</v>
      </c>
      <c r="K33" s="41"/>
      <c r="L33" s="29"/>
      <c r="M33" s="29"/>
      <c r="N33" s="29"/>
      <c r="O33" s="29"/>
      <c r="P33" s="39">
        <f t="shared" si="4"/>
        <v>187000</v>
      </c>
      <c r="U33" t="s">
        <v>318</v>
      </c>
    </row>
    <row r="34" spans="1:16" ht="31.5">
      <c r="A34" s="5" t="s">
        <v>42</v>
      </c>
      <c r="B34" s="6" t="s">
        <v>43</v>
      </c>
      <c r="C34" s="6" t="s">
        <v>44</v>
      </c>
      <c r="D34" s="12" t="s">
        <v>27</v>
      </c>
      <c r="E34" s="41">
        <f>1000000</f>
        <v>1000000</v>
      </c>
      <c r="F34" s="22">
        <f t="shared" si="3"/>
        <v>1000000</v>
      </c>
      <c r="G34" s="29"/>
      <c r="H34" s="29"/>
      <c r="I34" s="29"/>
      <c r="J34" s="40">
        <f t="shared" si="2"/>
        <v>190075</v>
      </c>
      <c r="K34" s="41">
        <f>389575-199500</f>
        <v>190075</v>
      </c>
      <c r="L34" s="29"/>
      <c r="M34" s="29"/>
      <c r="N34" s="29"/>
      <c r="O34" s="29"/>
      <c r="P34" s="39">
        <f t="shared" si="4"/>
        <v>1190075</v>
      </c>
    </row>
    <row r="35" spans="1:16" ht="15.75">
      <c r="A35" s="5" t="s">
        <v>45</v>
      </c>
      <c r="B35" s="6" t="s">
        <v>46</v>
      </c>
      <c r="C35" s="6" t="s">
        <v>44</v>
      </c>
      <c r="D35" s="12" t="s">
        <v>28</v>
      </c>
      <c r="E35" s="41">
        <f>7492000+1134293-186000</f>
        <v>8440293</v>
      </c>
      <c r="F35" s="22">
        <f t="shared" si="3"/>
        <v>8440293</v>
      </c>
      <c r="G35" s="29"/>
      <c r="H35" s="29"/>
      <c r="I35" s="29"/>
      <c r="J35" s="40">
        <f t="shared" si="2"/>
        <v>289205</v>
      </c>
      <c r="K35" s="41">
        <f>8205+119000+150000+12000</f>
        <v>289205</v>
      </c>
      <c r="L35" s="29"/>
      <c r="M35" s="29"/>
      <c r="N35" s="29"/>
      <c r="O35" s="29"/>
      <c r="P35" s="39">
        <f t="shared" si="4"/>
        <v>8729498</v>
      </c>
    </row>
    <row r="36" spans="1:16" ht="15.75">
      <c r="A36" s="5" t="s">
        <v>306</v>
      </c>
      <c r="B36" s="6" t="s">
        <v>304</v>
      </c>
      <c r="C36" s="6" t="s">
        <v>305</v>
      </c>
      <c r="D36" s="12" t="s">
        <v>307</v>
      </c>
      <c r="E36" s="41">
        <f>30000+43000</f>
        <v>73000</v>
      </c>
      <c r="F36" s="22">
        <f t="shared" si="3"/>
        <v>73000</v>
      </c>
      <c r="G36" s="29"/>
      <c r="H36" s="29"/>
      <c r="I36" s="29"/>
      <c r="J36" s="40">
        <f t="shared" si="2"/>
        <v>0</v>
      </c>
      <c r="K36" s="41"/>
      <c r="L36" s="29"/>
      <c r="M36" s="29"/>
      <c r="N36" s="29"/>
      <c r="O36" s="29"/>
      <c r="P36" s="39">
        <f t="shared" si="4"/>
        <v>73000</v>
      </c>
    </row>
    <row r="37" spans="1:21" s="28" customFormat="1" ht="15.75">
      <c r="A37" s="2" t="s">
        <v>114</v>
      </c>
      <c r="B37" s="3" t="s">
        <v>115</v>
      </c>
      <c r="C37" s="3"/>
      <c r="D37" s="16" t="s">
        <v>116</v>
      </c>
      <c r="E37" s="43">
        <f>E38+E39+E40+E41+E42</f>
        <v>2158000</v>
      </c>
      <c r="F37" s="43">
        <f aca="true" t="shared" si="9" ref="F37:P37">F38+F39+F40+F41+F42</f>
        <v>2158000</v>
      </c>
      <c r="G37" s="43">
        <f t="shared" si="9"/>
        <v>0</v>
      </c>
      <c r="H37" s="43">
        <f t="shared" si="9"/>
        <v>0</v>
      </c>
      <c r="I37" s="43">
        <f t="shared" si="9"/>
        <v>0</v>
      </c>
      <c r="J37" s="43">
        <f t="shared" si="9"/>
        <v>4874778</v>
      </c>
      <c r="K37" s="43">
        <f t="shared" si="9"/>
        <v>4874778</v>
      </c>
      <c r="L37" s="43">
        <f t="shared" si="9"/>
        <v>0</v>
      </c>
      <c r="M37" s="43">
        <f t="shared" si="9"/>
        <v>0</v>
      </c>
      <c r="N37" s="43">
        <f t="shared" si="9"/>
        <v>0</v>
      </c>
      <c r="O37" s="43">
        <f t="shared" si="9"/>
        <v>0</v>
      </c>
      <c r="P37" s="43">
        <f t="shared" si="9"/>
        <v>7032778</v>
      </c>
      <c r="U37" s="24"/>
    </row>
    <row r="38" spans="1:21" ht="30.75" customHeight="1">
      <c r="A38" s="5" t="s">
        <v>319</v>
      </c>
      <c r="B38" s="6" t="s">
        <v>317</v>
      </c>
      <c r="C38" s="6" t="s">
        <v>127</v>
      </c>
      <c r="D38" s="12" t="s">
        <v>318</v>
      </c>
      <c r="E38" s="41"/>
      <c r="F38" s="22">
        <f t="shared" si="3"/>
        <v>0</v>
      </c>
      <c r="G38" s="29"/>
      <c r="H38" s="29"/>
      <c r="I38" s="29"/>
      <c r="J38" s="40">
        <f t="shared" si="2"/>
        <v>2608600</v>
      </c>
      <c r="K38" s="41">
        <v>2608600</v>
      </c>
      <c r="L38" s="29"/>
      <c r="M38" s="29"/>
      <c r="N38" s="29"/>
      <c r="O38" s="29"/>
      <c r="P38" s="39">
        <f t="shared" si="4"/>
        <v>2608600</v>
      </c>
      <c r="U38" s="28"/>
    </row>
    <row r="39" spans="1:21" s="28" customFormat="1" ht="31.5" customHeight="1" hidden="1">
      <c r="A39" s="36">
        <v>217367</v>
      </c>
      <c r="B39" s="37">
        <v>7367</v>
      </c>
      <c r="C39" s="37">
        <v>490</v>
      </c>
      <c r="D39" s="35" t="s">
        <v>282</v>
      </c>
      <c r="E39" s="43"/>
      <c r="F39" s="22">
        <f t="shared" si="3"/>
        <v>0</v>
      </c>
      <c r="G39" s="31"/>
      <c r="H39" s="31"/>
      <c r="I39" s="31"/>
      <c r="J39" s="40">
        <f t="shared" si="2"/>
        <v>0</v>
      </c>
      <c r="K39" s="41">
        <f>880433-738891-141542</f>
        <v>0</v>
      </c>
      <c r="L39" s="31"/>
      <c r="M39" s="31"/>
      <c r="N39" s="31"/>
      <c r="O39" s="31"/>
      <c r="P39" s="39">
        <f t="shared" si="4"/>
        <v>0</v>
      </c>
      <c r="U39" s="24"/>
    </row>
    <row r="40" spans="1:21" ht="16.5" customHeight="1">
      <c r="A40" s="5" t="s">
        <v>117</v>
      </c>
      <c r="B40" s="6" t="s">
        <v>118</v>
      </c>
      <c r="C40" s="6" t="s">
        <v>119</v>
      </c>
      <c r="D40" s="12" t="s">
        <v>120</v>
      </c>
      <c r="E40" s="41">
        <f>3007000-1100000+186000</f>
        <v>2093000</v>
      </c>
      <c r="F40" s="22">
        <f t="shared" si="3"/>
        <v>2093000</v>
      </c>
      <c r="G40" s="29"/>
      <c r="H40" s="29"/>
      <c r="I40" s="29"/>
      <c r="J40" s="40">
        <f t="shared" si="2"/>
        <v>2266178</v>
      </c>
      <c r="K40" s="41">
        <f>900000+519567+42686+42925+761000</f>
        <v>2266178</v>
      </c>
      <c r="L40" s="29"/>
      <c r="M40" s="29"/>
      <c r="N40" s="29"/>
      <c r="O40" s="29"/>
      <c r="P40" s="39">
        <f t="shared" si="4"/>
        <v>4359178</v>
      </c>
      <c r="U40" s="28"/>
    </row>
    <row r="41" spans="1:16" ht="15.75">
      <c r="A41" s="5" t="s">
        <v>121</v>
      </c>
      <c r="B41" s="6" t="s">
        <v>122</v>
      </c>
      <c r="C41" s="6" t="s">
        <v>123</v>
      </c>
      <c r="D41" s="17" t="s">
        <v>124</v>
      </c>
      <c r="E41" s="41">
        <v>5000</v>
      </c>
      <c r="F41" s="22">
        <f t="shared" si="3"/>
        <v>5000</v>
      </c>
      <c r="G41" s="29"/>
      <c r="H41" s="29"/>
      <c r="I41" s="29"/>
      <c r="J41" s="40">
        <f t="shared" si="2"/>
        <v>0</v>
      </c>
      <c r="K41" s="41"/>
      <c r="L41" s="29"/>
      <c r="M41" s="29"/>
      <c r="N41" s="29"/>
      <c r="O41" s="29"/>
      <c r="P41" s="39">
        <f t="shared" si="4"/>
        <v>5000</v>
      </c>
    </row>
    <row r="42" spans="1:16" ht="15.75">
      <c r="A42" s="5" t="s">
        <v>125</v>
      </c>
      <c r="B42" s="6" t="s">
        <v>126</v>
      </c>
      <c r="C42" s="6" t="s">
        <v>127</v>
      </c>
      <c r="D42" s="12" t="s">
        <v>128</v>
      </c>
      <c r="E42" s="41">
        <v>60000</v>
      </c>
      <c r="F42" s="22">
        <f t="shared" si="3"/>
        <v>60000</v>
      </c>
      <c r="G42" s="29"/>
      <c r="H42" s="29"/>
      <c r="I42" s="29"/>
      <c r="J42" s="40">
        <f t="shared" si="2"/>
        <v>0</v>
      </c>
      <c r="K42" s="41"/>
      <c r="L42" s="29"/>
      <c r="M42" s="29"/>
      <c r="N42" s="29"/>
      <c r="O42" s="29"/>
      <c r="P42" s="39">
        <f t="shared" si="4"/>
        <v>60000</v>
      </c>
    </row>
    <row r="43" spans="1:21" s="28" customFormat="1" ht="15.75">
      <c r="A43" s="2" t="s">
        <v>129</v>
      </c>
      <c r="B43" s="3" t="s">
        <v>130</v>
      </c>
      <c r="C43" s="3"/>
      <c r="D43" s="21" t="s">
        <v>131</v>
      </c>
      <c r="E43" s="43">
        <f>E44+E45+E46</f>
        <v>402905</v>
      </c>
      <c r="F43" s="43">
        <f aca="true" t="shared" si="10" ref="F43:P43">F44+F45+F46</f>
        <v>402905</v>
      </c>
      <c r="G43" s="43">
        <f t="shared" si="10"/>
        <v>0</v>
      </c>
      <c r="H43" s="43">
        <f t="shared" si="10"/>
        <v>0</v>
      </c>
      <c r="I43" s="43">
        <f t="shared" si="10"/>
        <v>0</v>
      </c>
      <c r="J43" s="43">
        <f t="shared" si="10"/>
        <v>0</v>
      </c>
      <c r="K43" s="43">
        <f t="shared" si="10"/>
        <v>0</v>
      </c>
      <c r="L43" s="43">
        <f t="shared" si="10"/>
        <v>0</v>
      </c>
      <c r="M43" s="43">
        <f t="shared" si="10"/>
        <v>0</v>
      </c>
      <c r="N43" s="43">
        <f t="shared" si="10"/>
        <v>0</v>
      </c>
      <c r="O43" s="43">
        <f t="shared" si="10"/>
        <v>0</v>
      </c>
      <c r="P43" s="43">
        <f t="shared" si="10"/>
        <v>402905</v>
      </c>
      <c r="U43" s="24"/>
    </row>
    <row r="44" spans="1:21" ht="31.5">
      <c r="A44" s="5" t="s">
        <v>47</v>
      </c>
      <c r="B44" s="6" t="s">
        <v>48</v>
      </c>
      <c r="C44" s="6" t="s">
        <v>49</v>
      </c>
      <c r="D44" s="12" t="s">
        <v>29</v>
      </c>
      <c r="E44" s="41">
        <f>471000-29000-319095</f>
        <v>122905</v>
      </c>
      <c r="F44" s="22">
        <f t="shared" si="3"/>
        <v>122905</v>
      </c>
      <c r="G44" s="29"/>
      <c r="H44" s="29"/>
      <c r="I44" s="29"/>
      <c r="J44" s="40">
        <f t="shared" si="2"/>
        <v>0</v>
      </c>
      <c r="K44" s="41"/>
      <c r="L44" s="29"/>
      <c r="M44" s="29"/>
      <c r="N44" s="29"/>
      <c r="O44" s="29"/>
      <c r="P44" s="39">
        <f t="shared" si="4"/>
        <v>122905</v>
      </c>
      <c r="U44" s="28"/>
    </row>
    <row r="45" spans="1:16" ht="15.75">
      <c r="A45" s="5" t="s">
        <v>298</v>
      </c>
      <c r="B45" s="6" t="s">
        <v>296</v>
      </c>
      <c r="C45" s="6" t="s">
        <v>297</v>
      </c>
      <c r="D45" s="12" t="s">
        <v>299</v>
      </c>
      <c r="E45" s="41">
        <v>80000</v>
      </c>
      <c r="F45" s="22">
        <f t="shared" si="3"/>
        <v>80000</v>
      </c>
      <c r="G45" s="29"/>
      <c r="H45" s="29"/>
      <c r="I45" s="29"/>
      <c r="J45" s="40">
        <f t="shared" si="2"/>
        <v>0</v>
      </c>
      <c r="K45" s="41"/>
      <c r="L45" s="29"/>
      <c r="M45" s="29"/>
      <c r="N45" s="29"/>
      <c r="O45" s="29"/>
      <c r="P45" s="39">
        <f t="shared" si="4"/>
        <v>80000</v>
      </c>
    </row>
    <row r="46" spans="1:16" ht="15.75">
      <c r="A46" s="5" t="s">
        <v>283</v>
      </c>
      <c r="B46" s="6" t="s">
        <v>284</v>
      </c>
      <c r="C46" s="6" t="s">
        <v>285</v>
      </c>
      <c r="D46" s="12" t="s">
        <v>286</v>
      </c>
      <c r="E46" s="41">
        <v>200000</v>
      </c>
      <c r="F46" s="22">
        <f t="shared" si="3"/>
        <v>200000</v>
      </c>
      <c r="G46" s="29"/>
      <c r="H46" s="29"/>
      <c r="I46" s="29"/>
      <c r="J46" s="40">
        <f t="shared" si="2"/>
        <v>0</v>
      </c>
      <c r="K46" s="41"/>
      <c r="L46" s="29"/>
      <c r="M46" s="29"/>
      <c r="N46" s="29"/>
      <c r="O46" s="29"/>
      <c r="P46" s="39">
        <f t="shared" si="4"/>
        <v>200000</v>
      </c>
    </row>
    <row r="47" spans="1:21" s="28" customFormat="1" ht="21" customHeight="1">
      <c r="A47" s="18" t="s">
        <v>51</v>
      </c>
      <c r="B47" s="32"/>
      <c r="C47" s="32"/>
      <c r="D47" s="19" t="s">
        <v>50</v>
      </c>
      <c r="E47" s="43">
        <f>E48+E50+E58</f>
        <v>67777645.49000001</v>
      </c>
      <c r="F47" s="31">
        <f aca="true" t="shared" si="11" ref="F47:P47">F48+F50+F58</f>
        <v>67777645.49000001</v>
      </c>
      <c r="G47" s="31">
        <f t="shared" si="11"/>
        <v>45951123.97</v>
      </c>
      <c r="H47" s="31">
        <f t="shared" si="11"/>
        <v>7423027.800000001</v>
      </c>
      <c r="I47" s="31">
        <f t="shared" si="11"/>
        <v>0</v>
      </c>
      <c r="J47" s="40">
        <f t="shared" si="2"/>
        <v>5510691</v>
      </c>
      <c r="K47" s="43">
        <f t="shared" si="11"/>
        <v>3077841</v>
      </c>
      <c r="L47" s="31">
        <f t="shared" si="11"/>
        <v>2247850</v>
      </c>
      <c r="M47" s="31">
        <f t="shared" si="11"/>
        <v>150000</v>
      </c>
      <c r="N47" s="31">
        <f t="shared" si="11"/>
        <v>36000</v>
      </c>
      <c r="O47" s="31">
        <f t="shared" si="11"/>
        <v>185000</v>
      </c>
      <c r="P47" s="43">
        <f t="shared" si="11"/>
        <v>73288336.49000001</v>
      </c>
      <c r="U47" s="24"/>
    </row>
    <row r="48" spans="1:16" s="28" customFormat="1" ht="15.75">
      <c r="A48" s="2" t="s">
        <v>132</v>
      </c>
      <c r="B48" s="3" t="s">
        <v>79</v>
      </c>
      <c r="C48" s="4"/>
      <c r="D48" s="14" t="s">
        <v>80</v>
      </c>
      <c r="E48" s="43">
        <f>E49</f>
        <v>504300</v>
      </c>
      <c r="F48" s="31">
        <f aca="true" t="shared" si="12" ref="F48:P48">F49</f>
        <v>504300</v>
      </c>
      <c r="G48" s="31">
        <f t="shared" si="12"/>
        <v>398000</v>
      </c>
      <c r="H48" s="31">
        <f t="shared" si="12"/>
        <v>15700</v>
      </c>
      <c r="I48" s="31">
        <f t="shared" si="12"/>
        <v>0</v>
      </c>
      <c r="J48" s="40">
        <f t="shared" si="2"/>
        <v>0</v>
      </c>
      <c r="K48" s="43">
        <f t="shared" si="12"/>
        <v>0</v>
      </c>
      <c r="L48" s="31">
        <f t="shared" si="12"/>
        <v>0</v>
      </c>
      <c r="M48" s="31">
        <f t="shared" si="12"/>
        <v>0</v>
      </c>
      <c r="N48" s="31">
        <f t="shared" si="12"/>
        <v>0</v>
      </c>
      <c r="O48" s="31">
        <f t="shared" si="12"/>
        <v>0</v>
      </c>
      <c r="P48" s="43">
        <f t="shared" si="12"/>
        <v>504300</v>
      </c>
    </row>
    <row r="49" spans="1:21" ht="31.5">
      <c r="A49" s="5" t="s">
        <v>133</v>
      </c>
      <c r="B49" s="6" t="s">
        <v>82</v>
      </c>
      <c r="C49" s="6" t="s">
        <v>83</v>
      </c>
      <c r="D49" s="17" t="s">
        <v>84</v>
      </c>
      <c r="E49" s="41">
        <v>504300</v>
      </c>
      <c r="F49" s="22">
        <f>E49</f>
        <v>504300</v>
      </c>
      <c r="G49" s="29">
        <v>398000</v>
      </c>
      <c r="H49" s="29">
        <v>15700</v>
      </c>
      <c r="I49" s="29"/>
      <c r="J49" s="40">
        <f t="shared" si="2"/>
        <v>0</v>
      </c>
      <c r="K49" s="41"/>
      <c r="L49" s="29"/>
      <c r="M49" s="29"/>
      <c r="N49" s="29"/>
      <c r="O49" s="29"/>
      <c r="P49" s="39">
        <f t="shared" si="4"/>
        <v>504300</v>
      </c>
      <c r="U49" s="28"/>
    </row>
    <row r="50" spans="1:21" s="28" customFormat="1" ht="15.75">
      <c r="A50" s="2" t="s">
        <v>134</v>
      </c>
      <c r="B50" s="3" t="s">
        <v>135</v>
      </c>
      <c r="C50" s="4"/>
      <c r="D50" s="14" t="s">
        <v>136</v>
      </c>
      <c r="E50" s="43">
        <f>E51+E52+E53+E54+E55+E56+E57</f>
        <v>66116795.49</v>
      </c>
      <c r="F50" s="43">
        <f aca="true" t="shared" si="13" ref="F50:P50">F51+F52+F53+F54+F55+F56+F57</f>
        <v>66116795.49</v>
      </c>
      <c r="G50" s="43">
        <f t="shared" si="13"/>
        <v>44893123.97</v>
      </c>
      <c r="H50" s="43">
        <f t="shared" si="13"/>
        <v>7135327.800000001</v>
      </c>
      <c r="I50" s="43">
        <f t="shared" si="13"/>
        <v>0</v>
      </c>
      <c r="J50" s="43">
        <f t="shared" si="13"/>
        <v>5491491</v>
      </c>
      <c r="K50" s="43">
        <f t="shared" si="13"/>
        <v>3077841</v>
      </c>
      <c r="L50" s="43">
        <f t="shared" si="13"/>
        <v>2228650</v>
      </c>
      <c r="M50" s="43">
        <f t="shared" si="13"/>
        <v>150000</v>
      </c>
      <c r="N50" s="43">
        <f t="shared" si="13"/>
        <v>36000</v>
      </c>
      <c r="O50" s="43">
        <f t="shared" si="13"/>
        <v>185000</v>
      </c>
      <c r="P50" s="43">
        <f t="shared" si="13"/>
        <v>71608286.49000001</v>
      </c>
      <c r="U50" s="24"/>
    </row>
    <row r="51" spans="1:21" ht="15.75">
      <c r="A51" s="5" t="s">
        <v>52</v>
      </c>
      <c r="B51" s="6" t="s">
        <v>59</v>
      </c>
      <c r="C51" s="6" t="s">
        <v>66</v>
      </c>
      <c r="D51" s="17" t="s">
        <v>71</v>
      </c>
      <c r="E51" s="41">
        <f>14237000+1464000-72185.38-370000+29200+21060+144300+27489</f>
        <v>15480863.62</v>
      </c>
      <c r="F51" s="22">
        <f t="shared" si="3"/>
        <v>15480863.62</v>
      </c>
      <c r="G51" s="29">
        <f>9600000-54470.31+17260</f>
        <v>9562789.69</v>
      </c>
      <c r="H51" s="29">
        <f>1000000+200000+1000000+250000+80000-5731.6+15000-300000+30000</f>
        <v>2269268.4</v>
      </c>
      <c r="I51" s="29"/>
      <c r="J51" s="40">
        <f t="shared" si="2"/>
        <v>1801681</v>
      </c>
      <c r="K51" s="41">
        <f>200000+11488+41265+38806+4022</f>
        <v>295581</v>
      </c>
      <c r="L51" s="29">
        <v>1506100</v>
      </c>
      <c r="M51" s="29"/>
      <c r="N51" s="29"/>
      <c r="O51" s="29"/>
      <c r="P51" s="39">
        <f t="shared" si="4"/>
        <v>17282544.619999997</v>
      </c>
      <c r="U51" s="28"/>
    </row>
    <row r="52" spans="1:16" ht="47.25">
      <c r="A52" s="5" t="s">
        <v>53</v>
      </c>
      <c r="B52" s="6" t="s">
        <v>60</v>
      </c>
      <c r="C52" s="6" t="s">
        <v>67</v>
      </c>
      <c r="D52" s="17" t="s">
        <v>72</v>
      </c>
      <c r="E52" s="41">
        <f>13883000+31301300+2504885-1464000+199800-372511.76-233077.37-17000+430000+61+84672+42000+200000+210000-167101</f>
        <v>46602027.870000005</v>
      </c>
      <c r="F52" s="22">
        <f t="shared" si="3"/>
        <v>46602027.870000005</v>
      </c>
      <c r="G52" s="29">
        <f>7400000+25660000-305337.51-119866.21-35000+61-259903</f>
        <v>32339954.279999997</v>
      </c>
      <c r="H52" s="29">
        <f>3830900-86840.6+15000+1000000+30000</f>
        <v>4789059.4</v>
      </c>
      <c r="I52" s="29"/>
      <c r="J52" s="40">
        <f t="shared" si="2"/>
        <v>3639377</v>
      </c>
      <c r="K52" s="41">
        <f>1250000-185000+22000+193777+643398+25000+100000+13600+164052+505000</f>
        <v>2731827</v>
      </c>
      <c r="L52" s="29">
        <f>155800+566750</f>
        <v>722550</v>
      </c>
      <c r="M52" s="29">
        <v>150000</v>
      </c>
      <c r="N52" s="29">
        <v>36000</v>
      </c>
      <c r="O52" s="29">
        <v>185000</v>
      </c>
      <c r="P52" s="39">
        <f t="shared" si="4"/>
        <v>50241404.870000005</v>
      </c>
    </row>
    <row r="53" spans="1:16" ht="31.5">
      <c r="A53" s="5" t="s">
        <v>54</v>
      </c>
      <c r="B53" s="6" t="s">
        <v>61</v>
      </c>
      <c r="C53" s="6" t="s">
        <v>68</v>
      </c>
      <c r="D53" s="17" t="s">
        <v>73</v>
      </c>
      <c r="E53" s="41">
        <f>842000+10000</f>
        <v>852000</v>
      </c>
      <c r="F53" s="22">
        <f t="shared" si="3"/>
        <v>852000</v>
      </c>
      <c r="G53" s="29">
        <v>650000</v>
      </c>
      <c r="H53" s="29">
        <v>35000</v>
      </c>
      <c r="I53" s="29"/>
      <c r="J53" s="40">
        <f t="shared" si="2"/>
        <v>0</v>
      </c>
      <c r="K53" s="41"/>
      <c r="L53" s="29"/>
      <c r="M53" s="29"/>
      <c r="N53" s="29"/>
      <c r="O53" s="29"/>
      <c r="P53" s="39">
        <f t="shared" si="4"/>
        <v>852000</v>
      </c>
    </row>
    <row r="54" spans="1:16" ht="15.75">
      <c r="A54" s="5" t="s">
        <v>55</v>
      </c>
      <c r="B54" s="6" t="s">
        <v>62</v>
      </c>
      <c r="C54" s="6" t="s">
        <v>69</v>
      </c>
      <c r="D54" s="12" t="s">
        <v>74</v>
      </c>
      <c r="E54" s="41">
        <v>607000</v>
      </c>
      <c r="F54" s="22">
        <f t="shared" si="3"/>
        <v>607000</v>
      </c>
      <c r="G54" s="29">
        <v>450000</v>
      </c>
      <c r="H54" s="29">
        <v>26000</v>
      </c>
      <c r="I54" s="29"/>
      <c r="J54" s="40">
        <f t="shared" si="2"/>
        <v>0</v>
      </c>
      <c r="K54" s="41"/>
      <c r="L54" s="29"/>
      <c r="M54" s="29"/>
      <c r="N54" s="29"/>
      <c r="O54" s="29"/>
      <c r="P54" s="39">
        <f t="shared" si="4"/>
        <v>607000</v>
      </c>
    </row>
    <row r="55" spans="1:16" ht="15.75">
      <c r="A55" s="5" t="s">
        <v>56</v>
      </c>
      <c r="B55" s="6" t="s">
        <v>63</v>
      </c>
      <c r="C55" s="6" t="s">
        <v>69</v>
      </c>
      <c r="D55" s="17" t="s">
        <v>75</v>
      </c>
      <c r="E55" s="41">
        <f>1192000+124810+1218439-1218439+30605</f>
        <v>1347415</v>
      </c>
      <c r="F55" s="22">
        <f t="shared" si="3"/>
        <v>1347415</v>
      </c>
      <c r="G55" s="29">
        <f>800000+102300+998700-35720-998700+25100</f>
        <v>891680</v>
      </c>
      <c r="H55" s="29">
        <v>16000</v>
      </c>
      <c r="I55" s="29"/>
      <c r="J55" s="40">
        <f t="shared" si="2"/>
        <v>50433</v>
      </c>
      <c r="K55" s="41">
        <v>50433</v>
      </c>
      <c r="L55" s="29"/>
      <c r="M55" s="29"/>
      <c r="N55" s="29"/>
      <c r="O55" s="29"/>
      <c r="P55" s="39">
        <f t="shared" si="4"/>
        <v>1397848</v>
      </c>
    </row>
    <row r="56" spans="1:16" ht="15.75">
      <c r="A56" s="5" t="s">
        <v>57</v>
      </c>
      <c r="B56" s="6" t="s">
        <v>64</v>
      </c>
      <c r="C56" s="6" t="s">
        <v>69</v>
      </c>
      <c r="D56" s="55" t="s">
        <v>76</v>
      </c>
      <c r="E56" s="41">
        <f>4000+5050</f>
        <v>9050</v>
      </c>
      <c r="F56" s="22">
        <f t="shared" si="3"/>
        <v>9050</v>
      </c>
      <c r="G56" s="29"/>
      <c r="H56" s="29"/>
      <c r="I56" s="29"/>
      <c r="J56" s="40">
        <f t="shared" si="2"/>
        <v>0</v>
      </c>
      <c r="K56" s="41"/>
      <c r="L56" s="29"/>
      <c r="M56" s="29"/>
      <c r="N56" s="29"/>
      <c r="O56" s="29"/>
      <c r="P56" s="39">
        <f t="shared" si="4"/>
        <v>9050</v>
      </c>
    </row>
    <row r="57" spans="1:16" ht="15.75">
      <c r="A57" s="5" t="s">
        <v>309</v>
      </c>
      <c r="B57" s="6" t="s">
        <v>308</v>
      </c>
      <c r="C57" s="6" t="s">
        <v>69</v>
      </c>
      <c r="D57" s="55" t="s">
        <v>310</v>
      </c>
      <c r="E57" s="41">
        <v>1218439</v>
      </c>
      <c r="F57" s="22">
        <f t="shared" si="3"/>
        <v>1218439</v>
      </c>
      <c r="G57" s="29">
        <f>649180+349520</f>
        <v>998700</v>
      </c>
      <c r="H57" s="29"/>
      <c r="I57" s="29"/>
      <c r="J57" s="40">
        <f t="shared" si="2"/>
        <v>0</v>
      </c>
      <c r="K57" s="41"/>
      <c r="L57" s="29"/>
      <c r="M57" s="29"/>
      <c r="N57" s="29"/>
      <c r="O57" s="29"/>
      <c r="P57" s="39">
        <f t="shared" si="4"/>
        <v>1218439</v>
      </c>
    </row>
    <row r="58" spans="1:21" s="28" customFormat="1" ht="15.75">
      <c r="A58" s="2" t="s">
        <v>137</v>
      </c>
      <c r="B58" s="3" t="s">
        <v>138</v>
      </c>
      <c r="C58" s="4"/>
      <c r="D58" s="14" t="s">
        <v>139</v>
      </c>
      <c r="E58" s="43">
        <f>E59</f>
        <v>1156550</v>
      </c>
      <c r="F58" s="31">
        <f aca="true" t="shared" si="14" ref="F58:P58">F59</f>
        <v>1156550</v>
      </c>
      <c r="G58" s="31">
        <f t="shared" si="14"/>
        <v>660000</v>
      </c>
      <c r="H58" s="31">
        <f t="shared" si="14"/>
        <v>272000</v>
      </c>
      <c r="I58" s="31">
        <f t="shared" si="14"/>
        <v>0</v>
      </c>
      <c r="J58" s="40">
        <f t="shared" si="2"/>
        <v>19200</v>
      </c>
      <c r="K58" s="43">
        <f t="shared" si="14"/>
        <v>0</v>
      </c>
      <c r="L58" s="31">
        <f t="shared" si="14"/>
        <v>19200</v>
      </c>
      <c r="M58" s="31">
        <f t="shared" si="14"/>
        <v>0</v>
      </c>
      <c r="N58" s="31">
        <f t="shared" si="14"/>
        <v>0</v>
      </c>
      <c r="O58" s="31">
        <f t="shared" si="14"/>
        <v>0</v>
      </c>
      <c r="P58" s="43">
        <f t="shared" si="14"/>
        <v>1175750</v>
      </c>
      <c r="U58" s="24"/>
    </row>
    <row r="59" spans="1:21" ht="31.5">
      <c r="A59" s="5" t="s">
        <v>58</v>
      </c>
      <c r="B59" s="6" t="s">
        <v>65</v>
      </c>
      <c r="C59" s="6" t="s">
        <v>70</v>
      </c>
      <c r="D59" s="17" t="s">
        <v>77</v>
      </c>
      <c r="E59" s="41">
        <f>1100000+17000+980+20000+18570</f>
        <v>1156550</v>
      </c>
      <c r="F59" s="22">
        <f t="shared" si="3"/>
        <v>1156550</v>
      </c>
      <c r="G59" s="29">
        <v>660000</v>
      </c>
      <c r="H59" s="29">
        <v>272000</v>
      </c>
      <c r="I59" s="29"/>
      <c r="J59" s="40">
        <f t="shared" si="2"/>
        <v>19200</v>
      </c>
      <c r="K59" s="41"/>
      <c r="L59" s="29">
        <v>19200</v>
      </c>
      <c r="M59" s="29"/>
      <c r="N59" s="29"/>
      <c r="O59" s="29"/>
      <c r="P59" s="39">
        <f t="shared" si="4"/>
        <v>1175750</v>
      </c>
      <c r="U59" s="28"/>
    </row>
    <row r="60" spans="1:16" ht="31.5">
      <c r="A60" s="18" t="s">
        <v>140</v>
      </c>
      <c r="B60" s="32"/>
      <c r="C60" s="32"/>
      <c r="D60" s="19" t="s">
        <v>213</v>
      </c>
      <c r="E60" s="43">
        <f>E61+E63</f>
        <v>55723062.89</v>
      </c>
      <c r="F60" s="31">
        <f aca="true" t="shared" si="15" ref="F60:P60">F61+F63</f>
        <v>55723062.89</v>
      </c>
      <c r="G60" s="31">
        <f t="shared" si="15"/>
        <v>9136000</v>
      </c>
      <c r="H60" s="31">
        <f t="shared" si="15"/>
        <v>650000</v>
      </c>
      <c r="I60" s="31">
        <f t="shared" si="15"/>
        <v>0</v>
      </c>
      <c r="J60" s="40">
        <f t="shared" si="2"/>
        <v>5795003</v>
      </c>
      <c r="K60" s="43">
        <f t="shared" si="15"/>
        <v>5665000</v>
      </c>
      <c r="L60" s="31">
        <f t="shared" si="15"/>
        <v>130003</v>
      </c>
      <c r="M60" s="31">
        <f t="shared" si="15"/>
        <v>0</v>
      </c>
      <c r="N60" s="31">
        <f t="shared" si="15"/>
        <v>0</v>
      </c>
      <c r="O60" s="31">
        <f t="shared" si="15"/>
        <v>0</v>
      </c>
      <c r="P60" s="43">
        <f t="shared" si="15"/>
        <v>61518065.89</v>
      </c>
    </row>
    <row r="61" spans="1:16" ht="15.75">
      <c r="A61" s="2" t="s">
        <v>141</v>
      </c>
      <c r="B61" s="3" t="s">
        <v>79</v>
      </c>
      <c r="C61" s="4"/>
      <c r="D61" s="14" t="s">
        <v>80</v>
      </c>
      <c r="E61" s="41">
        <f>E62</f>
        <v>6345000</v>
      </c>
      <c r="F61" s="29">
        <f aca="true" t="shared" si="16" ref="F61:P61">F62</f>
        <v>6345000</v>
      </c>
      <c r="G61" s="29">
        <f t="shared" si="16"/>
        <v>4620000</v>
      </c>
      <c r="H61" s="29">
        <f t="shared" si="16"/>
        <v>302000</v>
      </c>
      <c r="I61" s="29">
        <f t="shared" si="16"/>
        <v>0</v>
      </c>
      <c r="J61" s="40">
        <f t="shared" si="2"/>
        <v>3</v>
      </c>
      <c r="K61" s="41">
        <f t="shared" si="16"/>
        <v>0</v>
      </c>
      <c r="L61" s="29">
        <f t="shared" si="16"/>
        <v>3</v>
      </c>
      <c r="M61" s="29">
        <f t="shared" si="16"/>
        <v>0</v>
      </c>
      <c r="N61" s="29">
        <f t="shared" si="16"/>
        <v>0</v>
      </c>
      <c r="O61" s="29">
        <f t="shared" si="16"/>
        <v>0</v>
      </c>
      <c r="P61" s="41">
        <f t="shared" si="16"/>
        <v>6345003</v>
      </c>
    </row>
    <row r="62" spans="1:16" ht="31.5">
      <c r="A62" s="5" t="s">
        <v>142</v>
      </c>
      <c r="B62" s="6" t="s">
        <v>82</v>
      </c>
      <c r="C62" s="6" t="s">
        <v>83</v>
      </c>
      <c r="D62" s="17" t="s">
        <v>84</v>
      </c>
      <c r="E62" s="41">
        <f>6270000+60000+15000</f>
        <v>6345000</v>
      </c>
      <c r="F62" s="22">
        <f t="shared" si="3"/>
        <v>6345000</v>
      </c>
      <c r="G62" s="29">
        <v>4620000</v>
      </c>
      <c r="H62" s="29">
        <v>302000</v>
      </c>
      <c r="I62" s="29"/>
      <c r="J62" s="40">
        <f t="shared" si="2"/>
        <v>3</v>
      </c>
      <c r="K62" s="41"/>
      <c r="L62" s="29">
        <v>3</v>
      </c>
      <c r="M62" s="29"/>
      <c r="N62" s="29"/>
      <c r="O62" s="29"/>
      <c r="P62" s="39">
        <f t="shared" si="4"/>
        <v>6345003</v>
      </c>
    </row>
    <row r="63" spans="1:16" ht="15.75">
      <c r="A63" s="2" t="s">
        <v>143</v>
      </c>
      <c r="B63" s="3" t="s">
        <v>96</v>
      </c>
      <c r="C63" s="4"/>
      <c r="D63" s="14" t="s">
        <v>97</v>
      </c>
      <c r="E63" s="43">
        <f>E64+E65+E66+E67+E68+E69+E70+E71+E72+E73+E74+E75+E76+E77+E78+E79+E80+E81+E82+E83+E84+E85+E86+E87+E88+E89+E90+E91+E92</f>
        <v>49378062.89</v>
      </c>
      <c r="F63" s="43">
        <f aca="true" t="shared" si="17" ref="F63:P63">F64+F65+F66+F67+F68+F69+F70+F71+F72+F73+F74+F75+F76+F77+F78+F79+F80+F81+F82+F83+F84+F85+F86+F87+F88+F89+F90+F91+F92</f>
        <v>49378062.89</v>
      </c>
      <c r="G63" s="43">
        <f t="shared" si="17"/>
        <v>4516000</v>
      </c>
      <c r="H63" s="43">
        <f t="shared" si="17"/>
        <v>348000</v>
      </c>
      <c r="I63" s="43">
        <f t="shared" si="17"/>
        <v>0</v>
      </c>
      <c r="J63" s="43">
        <f t="shared" si="17"/>
        <v>5795000</v>
      </c>
      <c r="K63" s="43">
        <f t="shared" si="17"/>
        <v>5665000</v>
      </c>
      <c r="L63" s="43">
        <f t="shared" si="17"/>
        <v>130000</v>
      </c>
      <c r="M63" s="43">
        <f t="shared" si="17"/>
        <v>0</v>
      </c>
      <c r="N63" s="43">
        <f t="shared" si="17"/>
        <v>0</v>
      </c>
      <c r="O63" s="43">
        <f t="shared" si="17"/>
        <v>0</v>
      </c>
      <c r="P63" s="43">
        <f t="shared" si="17"/>
        <v>55173062.89</v>
      </c>
    </row>
    <row r="64" spans="1:16" ht="31.5">
      <c r="A64" s="5" t="s">
        <v>144</v>
      </c>
      <c r="B64" s="6" t="s">
        <v>145</v>
      </c>
      <c r="C64" s="6" t="s">
        <v>146</v>
      </c>
      <c r="D64" s="17" t="s">
        <v>147</v>
      </c>
      <c r="E64" s="41">
        <f>2000000+2594311.71+3494901</f>
        <v>8089212.71</v>
      </c>
      <c r="F64" s="22">
        <f t="shared" si="3"/>
        <v>8089212.71</v>
      </c>
      <c r="G64" s="29"/>
      <c r="H64" s="29"/>
      <c r="I64" s="29"/>
      <c r="J64" s="40">
        <f t="shared" si="2"/>
        <v>0</v>
      </c>
      <c r="K64" s="41"/>
      <c r="L64" s="29"/>
      <c r="M64" s="29"/>
      <c r="N64" s="29"/>
      <c r="O64" s="29"/>
      <c r="P64" s="39">
        <f t="shared" si="4"/>
        <v>8089212.71</v>
      </c>
    </row>
    <row r="65" spans="1:16" ht="31.5">
      <c r="A65" s="5" t="s">
        <v>148</v>
      </c>
      <c r="B65" s="6" t="s">
        <v>149</v>
      </c>
      <c r="C65" s="6" t="s">
        <v>150</v>
      </c>
      <c r="D65" s="17" t="s">
        <v>151</v>
      </c>
      <c r="E65" s="41">
        <f>16172000-2594311.71-3494901</f>
        <v>10082787.29</v>
      </c>
      <c r="F65" s="22">
        <f t="shared" si="3"/>
        <v>10082787.29</v>
      </c>
      <c r="G65" s="29"/>
      <c r="H65" s="29"/>
      <c r="I65" s="29"/>
      <c r="J65" s="40">
        <f t="shared" si="2"/>
        <v>0</v>
      </c>
      <c r="K65" s="41"/>
      <c r="L65" s="29"/>
      <c r="M65" s="29"/>
      <c r="N65" s="29"/>
      <c r="O65" s="29"/>
      <c r="P65" s="39">
        <f t="shared" si="4"/>
        <v>10082787.29</v>
      </c>
    </row>
    <row r="66" spans="1:16" ht="47.25">
      <c r="A66" s="5" t="s">
        <v>152</v>
      </c>
      <c r="B66" s="6" t="s">
        <v>153</v>
      </c>
      <c r="C66" s="6" t="s">
        <v>146</v>
      </c>
      <c r="D66" s="17" t="s">
        <v>154</v>
      </c>
      <c r="E66" s="41">
        <f>10000+23000</f>
        <v>33000</v>
      </c>
      <c r="F66" s="22">
        <f t="shared" si="3"/>
        <v>33000</v>
      </c>
      <c r="G66" s="29"/>
      <c r="H66" s="29"/>
      <c r="I66" s="29"/>
      <c r="J66" s="40">
        <f t="shared" si="2"/>
        <v>0</v>
      </c>
      <c r="K66" s="41"/>
      <c r="L66" s="29"/>
      <c r="M66" s="29"/>
      <c r="N66" s="29"/>
      <c r="O66" s="29"/>
      <c r="P66" s="39">
        <f t="shared" si="4"/>
        <v>33000</v>
      </c>
    </row>
    <row r="67" spans="1:16" ht="31.5">
      <c r="A67" s="5" t="s">
        <v>155</v>
      </c>
      <c r="B67" s="6" t="s">
        <v>156</v>
      </c>
      <c r="C67" s="6" t="s">
        <v>150</v>
      </c>
      <c r="D67" s="17" t="s">
        <v>157</v>
      </c>
      <c r="E67" s="41">
        <f>127000-23000</f>
        <v>104000</v>
      </c>
      <c r="F67" s="22">
        <f t="shared" si="3"/>
        <v>104000</v>
      </c>
      <c r="G67" s="29"/>
      <c r="H67" s="29"/>
      <c r="I67" s="29"/>
      <c r="J67" s="40">
        <f t="shared" si="2"/>
        <v>0</v>
      </c>
      <c r="K67" s="41"/>
      <c r="L67" s="29"/>
      <c r="M67" s="29"/>
      <c r="N67" s="29"/>
      <c r="O67" s="29"/>
      <c r="P67" s="39">
        <f t="shared" si="4"/>
        <v>104000</v>
      </c>
    </row>
    <row r="68" spans="1:16" ht="31.5">
      <c r="A68" s="5" t="s">
        <v>158</v>
      </c>
      <c r="B68" s="6" t="s">
        <v>159</v>
      </c>
      <c r="C68" s="6" t="s">
        <v>146</v>
      </c>
      <c r="D68" s="12" t="s">
        <v>160</v>
      </c>
      <c r="E68" s="41">
        <v>20000</v>
      </c>
      <c r="F68" s="22">
        <f t="shared" si="3"/>
        <v>20000</v>
      </c>
      <c r="G68" s="29"/>
      <c r="H68" s="29"/>
      <c r="I68" s="29"/>
      <c r="J68" s="40">
        <f t="shared" si="2"/>
        <v>0</v>
      </c>
      <c r="K68" s="41"/>
      <c r="L68" s="29"/>
      <c r="M68" s="29"/>
      <c r="N68" s="29"/>
      <c r="O68" s="29"/>
      <c r="P68" s="39">
        <f t="shared" si="4"/>
        <v>20000</v>
      </c>
    </row>
    <row r="69" spans="1:16" ht="15.75">
      <c r="A69" s="5" t="s">
        <v>161</v>
      </c>
      <c r="B69" s="6" t="s">
        <v>162</v>
      </c>
      <c r="C69" s="6" t="s">
        <v>100</v>
      </c>
      <c r="D69" s="17" t="s">
        <v>163</v>
      </c>
      <c r="E69" s="41">
        <v>100000</v>
      </c>
      <c r="F69" s="22">
        <f t="shared" si="3"/>
        <v>100000</v>
      </c>
      <c r="G69" s="29"/>
      <c r="H69" s="29"/>
      <c r="I69" s="29"/>
      <c r="J69" s="40">
        <f t="shared" si="2"/>
        <v>0</v>
      </c>
      <c r="K69" s="41"/>
      <c r="L69" s="29"/>
      <c r="M69" s="29"/>
      <c r="N69" s="29"/>
      <c r="O69" s="29"/>
      <c r="P69" s="39">
        <f t="shared" si="4"/>
        <v>100000</v>
      </c>
    </row>
    <row r="70" spans="1:16" ht="31.5">
      <c r="A70" s="5" t="s">
        <v>164</v>
      </c>
      <c r="B70" s="6" t="s">
        <v>165</v>
      </c>
      <c r="C70" s="6" t="s">
        <v>100</v>
      </c>
      <c r="D70" s="17" t="s">
        <v>166</v>
      </c>
      <c r="E70" s="41">
        <v>490000</v>
      </c>
      <c r="F70" s="22">
        <f t="shared" si="3"/>
        <v>490000</v>
      </c>
      <c r="G70" s="29"/>
      <c r="H70" s="29"/>
      <c r="I70" s="29"/>
      <c r="J70" s="40">
        <f t="shared" si="2"/>
        <v>0</v>
      </c>
      <c r="K70" s="41"/>
      <c r="L70" s="29"/>
      <c r="M70" s="29"/>
      <c r="N70" s="29"/>
      <c r="O70" s="29"/>
      <c r="P70" s="39">
        <f t="shared" si="4"/>
        <v>490000</v>
      </c>
    </row>
    <row r="71" spans="1:24" ht="31.5">
      <c r="A71" s="5" t="s">
        <v>214</v>
      </c>
      <c r="B71" s="6" t="s">
        <v>215</v>
      </c>
      <c r="C71" s="6" t="s">
        <v>100</v>
      </c>
      <c r="D71" s="17" t="s">
        <v>216</v>
      </c>
      <c r="E71" s="41">
        <v>200000</v>
      </c>
      <c r="F71" s="22">
        <f t="shared" si="3"/>
        <v>200000</v>
      </c>
      <c r="G71" s="29"/>
      <c r="H71" s="29"/>
      <c r="I71" s="29"/>
      <c r="J71" s="40">
        <f t="shared" si="2"/>
        <v>0</v>
      </c>
      <c r="K71" s="41"/>
      <c r="L71" s="29"/>
      <c r="M71" s="29"/>
      <c r="N71" s="29"/>
      <c r="O71" s="29"/>
      <c r="P71" s="39">
        <f t="shared" si="4"/>
        <v>200000</v>
      </c>
      <c r="X71" s="56"/>
    </row>
    <row r="72" spans="1:16" ht="15.75">
      <c r="A72" s="5" t="s">
        <v>167</v>
      </c>
      <c r="B72" s="6" t="s">
        <v>168</v>
      </c>
      <c r="C72" s="6" t="s">
        <v>39</v>
      </c>
      <c r="D72" s="13" t="s">
        <v>169</v>
      </c>
      <c r="E72" s="41">
        <f>21200+189000</f>
        <v>210200</v>
      </c>
      <c r="F72" s="22">
        <f t="shared" si="3"/>
        <v>210200</v>
      </c>
      <c r="G72" s="29"/>
      <c r="H72" s="29"/>
      <c r="I72" s="29"/>
      <c r="J72" s="40">
        <f t="shared" si="2"/>
        <v>0</v>
      </c>
      <c r="K72" s="41"/>
      <c r="L72" s="29"/>
      <c r="M72" s="29"/>
      <c r="N72" s="29"/>
      <c r="O72" s="29"/>
      <c r="P72" s="39">
        <f t="shared" si="4"/>
        <v>210200</v>
      </c>
    </row>
    <row r="73" spans="1:16" ht="15.75">
      <c r="A73" s="5" t="s">
        <v>170</v>
      </c>
      <c r="B73" s="6" t="s">
        <v>171</v>
      </c>
      <c r="C73" s="6" t="s">
        <v>39</v>
      </c>
      <c r="D73" s="17" t="s">
        <v>172</v>
      </c>
      <c r="E73" s="41">
        <f>62000-9742.75</f>
        <v>52257.25</v>
      </c>
      <c r="F73" s="22">
        <f t="shared" si="3"/>
        <v>52257.25</v>
      </c>
      <c r="G73" s="29"/>
      <c r="H73" s="29"/>
      <c r="I73" s="29"/>
      <c r="J73" s="40">
        <f t="shared" si="2"/>
        <v>0</v>
      </c>
      <c r="K73" s="41"/>
      <c r="L73" s="29"/>
      <c r="M73" s="29"/>
      <c r="N73" s="29"/>
      <c r="O73" s="29"/>
      <c r="P73" s="39">
        <f t="shared" si="4"/>
        <v>52257.25</v>
      </c>
    </row>
    <row r="74" spans="1:16" ht="15.75">
      <c r="A74" s="5" t="s">
        <v>173</v>
      </c>
      <c r="B74" s="6" t="s">
        <v>174</v>
      </c>
      <c r="C74" s="6" t="s">
        <v>39</v>
      </c>
      <c r="D74" s="13" t="s">
        <v>175</v>
      </c>
      <c r="E74" s="41">
        <f>12435540-189000-2500000-882500-56892.77</f>
        <v>8807147.23</v>
      </c>
      <c r="F74" s="22">
        <f t="shared" si="3"/>
        <v>8807147.23</v>
      </c>
      <c r="G74" s="29"/>
      <c r="H74" s="29"/>
      <c r="I74" s="29"/>
      <c r="J74" s="40">
        <f t="shared" si="2"/>
        <v>0</v>
      </c>
      <c r="K74" s="41"/>
      <c r="L74" s="29"/>
      <c r="M74" s="29"/>
      <c r="N74" s="29"/>
      <c r="O74" s="29"/>
      <c r="P74" s="39">
        <f t="shared" si="4"/>
        <v>8807147.23</v>
      </c>
    </row>
    <row r="75" spans="1:16" ht="21.75" customHeight="1">
      <c r="A75" s="5" t="s">
        <v>176</v>
      </c>
      <c r="B75" s="6" t="s">
        <v>177</v>
      </c>
      <c r="C75" s="6" t="s">
        <v>39</v>
      </c>
      <c r="D75" s="13" t="s">
        <v>178</v>
      </c>
      <c r="E75" s="41">
        <f>601500+2159.41</f>
        <v>603659.41</v>
      </c>
      <c r="F75" s="22">
        <f t="shared" si="3"/>
        <v>603659.41</v>
      </c>
      <c r="G75" s="29"/>
      <c r="H75" s="29"/>
      <c r="I75" s="29"/>
      <c r="J75" s="40">
        <f t="shared" si="2"/>
        <v>0</v>
      </c>
      <c r="K75" s="41"/>
      <c r="L75" s="29"/>
      <c r="M75" s="29"/>
      <c r="N75" s="29"/>
      <c r="O75" s="29"/>
      <c r="P75" s="39">
        <f t="shared" si="4"/>
        <v>603659.41</v>
      </c>
    </row>
    <row r="76" spans="1:16" ht="15.75">
      <c r="A76" s="5" t="s">
        <v>179</v>
      </c>
      <c r="B76" s="6" t="s">
        <v>180</v>
      </c>
      <c r="C76" s="6" t="s">
        <v>39</v>
      </c>
      <c r="D76" s="13" t="s">
        <v>181</v>
      </c>
      <c r="E76" s="41">
        <f>3001500+4000</f>
        <v>3005500</v>
      </c>
      <c r="F76" s="22">
        <f t="shared" si="3"/>
        <v>3005500</v>
      </c>
      <c r="G76" s="29"/>
      <c r="H76" s="29"/>
      <c r="I76" s="29"/>
      <c r="J76" s="40">
        <f t="shared" si="2"/>
        <v>0</v>
      </c>
      <c r="K76" s="41"/>
      <c r="L76" s="29"/>
      <c r="M76" s="29"/>
      <c r="N76" s="29"/>
      <c r="O76" s="29"/>
      <c r="P76" s="39">
        <f t="shared" si="4"/>
        <v>3005500</v>
      </c>
    </row>
    <row r="77" spans="1:16" ht="15.75">
      <c r="A77" s="5" t="s">
        <v>182</v>
      </c>
      <c r="B77" s="6" t="s">
        <v>183</v>
      </c>
      <c r="C77" s="6" t="s">
        <v>39</v>
      </c>
      <c r="D77" s="13" t="s">
        <v>184</v>
      </c>
      <c r="E77" s="41">
        <v>100100</v>
      </c>
      <c r="F77" s="22">
        <f t="shared" si="3"/>
        <v>100100</v>
      </c>
      <c r="G77" s="29"/>
      <c r="H77" s="29"/>
      <c r="I77" s="29"/>
      <c r="J77" s="40">
        <f t="shared" si="2"/>
        <v>0</v>
      </c>
      <c r="K77" s="41"/>
      <c r="L77" s="29"/>
      <c r="M77" s="29"/>
      <c r="N77" s="29"/>
      <c r="O77" s="29"/>
      <c r="P77" s="39">
        <f t="shared" si="4"/>
        <v>100100</v>
      </c>
    </row>
    <row r="78" spans="1:16" ht="15.75">
      <c r="A78" s="5" t="s">
        <v>185</v>
      </c>
      <c r="B78" s="6" t="s">
        <v>186</v>
      </c>
      <c r="C78" s="6" t="s">
        <v>39</v>
      </c>
      <c r="D78" s="17" t="s">
        <v>187</v>
      </c>
      <c r="E78" s="41">
        <f>302000+2500000</f>
        <v>2802000</v>
      </c>
      <c r="F78" s="22">
        <f t="shared" si="3"/>
        <v>2802000</v>
      </c>
      <c r="G78" s="29"/>
      <c r="H78" s="29"/>
      <c r="I78" s="29"/>
      <c r="J78" s="40">
        <f t="shared" si="2"/>
        <v>0</v>
      </c>
      <c r="K78" s="41"/>
      <c r="L78" s="29"/>
      <c r="M78" s="29"/>
      <c r="N78" s="29"/>
      <c r="O78" s="29"/>
      <c r="P78" s="39">
        <f t="shared" si="4"/>
        <v>2802000</v>
      </c>
    </row>
    <row r="79" spans="1:16" ht="31.5">
      <c r="A79" s="5" t="s">
        <v>311</v>
      </c>
      <c r="B79" s="6" t="s">
        <v>312</v>
      </c>
      <c r="C79" s="6" t="s">
        <v>39</v>
      </c>
      <c r="D79" s="17" t="s">
        <v>313</v>
      </c>
      <c r="E79" s="41">
        <v>26000</v>
      </c>
      <c r="F79" s="22">
        <f t="shared" si="3"/>
        <v>26000</v>
      </c>
      <c r="G79" s="29"/>
      <c r="H79" s="29"/>
      <c r="I79" s="29"/>
      <c r="J79" s="40">
        <f t="shared" si="2"/>
        <v>0</v>
      </c>
      <c r="K79" s="41"/>
      <c r="L79" s="29"/>
      <c r="M79" s="29"/>
      <c r="N79" s="29"/>
      <c r="O79" s="29"/>
      <c r="P79" s="39">
        <f t="shared" si="4"/>
        <v>26000</v>
      </c>
    </row>
    <row r="80" spans="1:24" ht="31.5">
      <c r="A80" s="5" t="s">
        <v>188</v>
      </c>
      <c r="B80" s="6" t="s">
        <v>189</v>
      </c>
      <c r="C80" s="6" t="s">
        <v>59</v>
      </c>
      <c r="D80" s="12" t="s">
        <v>190</v>
      </c>
      <c r="E80" s="41">
        <f>4010000+4438.78</f>
        <v>4014438.78</v>
      </c>
      <c r="F80" s="22">
        <f aca="true" t="shared" si="18" ref="F80:F121">E80</f>
        <v>4014438.78</v>
      </c>
      <c r="G80" s="29"/>
      <c r="H80" s="29"/>
      <c r="I80" s="29"/>
      <c r="J80" s="40">
        <f t="shared" si="2"/>
        <v>0</v>
      </c>
      <c r="K80" s="41"/>
      <c r="L80" s="29"/>
      <c r="M80" s="29"/>
      <c r="N80" s="29"/>
      <c r="O80" s="29"/>
      <c r="P80" s="39">
        <f aca="true" t="shared" si="19" ref="P80:P122">E80+J80</f>
        <v>4014438.78</v>
      </c>
      <c r="X80" s="56"/>
    </row>
    <row r="81" spans="1:16" ht="47.25">
      <c r="A81" s="5" t="s">
        <v>191</v>
      </c>
      <c r="B81" s="6" t="s">
        <v>192</v>
      </c>
      <c r="C81" s="6" t="s">
        <v>59</v>
      </c>
      <c r="D81" s="12" t="s">
        <v>193</v>
      </c>
      <c r="E81" s="41">
        <f>602000+629.78</f>
        <v>602629.78</v>
      </c>
      <c r="F81" s="22">
        <f t="shared" si="18"/>
        <v>602629.78</v>
      </c>
      <c r="G81" s="29"/>
      <c r="H81" s="29"/>
      <c r="I81" s="29"/>
      <c r="J81" s="40">
        <f t="shared" si="2"/>
        <v>0</v>
      </c>
      <c r="K81" s="41"/>
      <c r="L81" s="29"/>
      <c r="M81" s="29"/>
      <c r="N81" s="29"/>
      <c r="O81" s="29"/>
      <c r="P81" s="39">
        <f t="shared" si="19"/>
        <v>602629.78</v>
      </c>
    </row>
    <row r="82" spans="1:16" ht="31.5">
      <c r="A82" s="5" t="s">
        <v>194</v>
      </c>
      <c r="B82" s="6" t="s">
        <v>195</v>
      </c>
      <c r="C82" s="6" t="s">
        <v>59</v>
      </c>
      <c r="D82" s="17" t="s">
        <v>196</v>
      </c>
      <c r="E82" s="41">
        <f>201000+800+50000</f>
        <v>251800</v>
      </c>
      <c r="F82" s="22">
        <f t="shared" si="18"/>
        <v>251800</v>
      </c>
      <c r="G82" s="29"/>
      <c r="H82" s="29"/>
      <c r="I82" s="29"/>
      <c r="J82" s="40">
        <f t="shared" si="2"/>
        <v>0</v>
      </c>
      <c r="K82" s="41"/>
      <c r="L82" s="29"/>
      <c r="M82" s="29"/>
      <c r="N82" s="29"/>
      <c r="O82" s="29"/>
      <c r="P82" s="39">
        <f t="shared" si="19"/>
        <v>251800</v>
      </c>
    </row>
    <row r="83" spans="1:16" ht="47.25">
      <c r="A83" s="5" t="s">
        <v>277</v>
      </c>
      <c r="B83" s="6" t="s">
        <v>278</v>
      </c>
      <c r="C83" s="6" t="s">
        <v>39</v>
      </c>
      <c r="D83" s="17" t="s">
        <v>279</v>
      </c>
      <c r="E83" s="41">
        <v>30150</v>
      </c>
      <c r="F83" s="22">
        <f t="shared" si="18"/>
        <v>30150</v>
      </c>
      <c r="G83" s="29"/>
      <c r="H83" s="29"/>
      <c r="I83" s="29"/>
      <c r="J83" s="40">
        <f t="shared" si="2"/>
        <v>0</v>
      </c>
      <c r="K83" s="41"/>
      <c r="L83" s="29"/>
      <c r="M83" s="29"/>
      <c r="N83" s="29"/>
      <c r="O83" s="29"/>
      <c r="P83" s="39">
        <f t="shared" si="19"/>
        <v>30150</v>
      </c>
    </row>
    <row r="84" spans="1:16" ht="47.25">
      <c r="A84" s="5" t="s">
        <v>197</v>
      </c>
      <c r="B84" s="6" t="s">
        <v>198</v>
      </c>
      <c r="C84" s="6" t="s">
        <v>59</v>
      </c>
      <c r="D84" s="12" t="s">
        <v>199</v>
      </c>
      <c r="E84" s="41">
        <v>2010</v>
      </c>
      <c r="F84" s="22">
        <f t="shared" si="18"/>
        <v>2010</v>
      </c>
      <c r="G84" s="29"/>
      <c r="H84" s="29"/>
      <c r="I84" s="29"/>
      <c r="J84" s="40">
        <f t="shared" si="2"/>
        <v>0</v>
      </c>
      <c r="K84" s="41"/>
      <c r="L84" s="29"/>
      <c r="M84" s="29"/>
      <c r="N84" s="29"/>
      <c r="O84" s="29"/>
      <c r="P84" s="39">
        <f t="shared" si="19"/>
        <v>2010</v>
      </c>
    </row>
    <row r="85" spans="1:16" ht="114.75" customHeight="1">
      <c r="A85" s="5" t="s">
        <v>324</v>
      </c>
      <c r="B85" s="6" t="s">
        <v>323</v>
      </c>
      <c r="C85" s="6" t="s">
        <v>39</v>
      </c>
      <c r="D85" s="49" t="s">
        <v>325</v>
      </c>
      <c r="E85" s="41">
        <v>9407.55</v>
      </c>
      <c r="F85" s="22">
        <f t="shared" si="18"/>
        <v>9407.55</v>
      </c>
      <c r="G85" s="29"/>
      <c r="H85" s="29"/>
      <c r="I85" s="29"/>
      <c r="J85" s="40">
        <f t="shared" si="2"/>
        <v>0</v>
      </c>
      <c r="K85" s="41"/>
      <c r="L85" s="29"/>
      <c r="M85" s="29"/>
      <c r="N85" s="29"/>
      <c r="O85" s="29"/>
      <c r="P85" s="39">
        <f t="shared" si="19"/>
        <v>9407.55</v>
      </c>
    </row>
    <row r="86" spans="1:16" ht="15.75">
      <c r="A86" s="5" t="s">
        <v>314</v>
      </c>
      <c r="B86" s="6" t="s">
        <v>315</v>
      </c>
      <c r="C86" s="6" t="s">
        <v>39</v>
      </c>
      <c r="D86" s="12" t="s">
        <v>316</v>
      </c>
      <c r="E86" s="41">
        <v>851700</v>
      </c>
      <c r="F86" s="22">
        <f t="shared" si="18"/>
        <v>851700</v>
      </c>
      <c r="G86" s="29"/>
      <c r="H86" s="29"/>
      <c r="I86" s="29"/>
      <c r="J86" s="40">
        <f t="shared" si="2"/>
        <v>0</v>
      </c>
      <c r="K86" s="41"/>
      <c r="L86" s="29"/>
      <c r="M86" s="29"/>
      <c r="N86" s="29"/>
      <c r="O86" s="29"/>
      <c r="P86" s="39">
        <f t="shared" si="19"/>
        <v>851700</v>
      </c>
    </row>
    <row r="87" spans="1:16" ht="47.25">
      <c r="A87" s="5" t="s">
        <v>200</v>
      </c>
      <c r="B87" s="6" t="s">
        <v>201</v>
      </c>
      <c r="C87" s="6" t="s">
        <v>60</v>
      </c>
      <c r="D87" s="12" t="s">
        <v>202</v>
      </c>
      <c r="E87" s="41">
        <f>6386700+180000</f>
        <v>6566700</v>
      </c>
      <c r="F87" s="22">
        <f t="shared" si="18"/>
        <v>6566700</v>
      </c>
      <c r="G87" s="29">
        <v>4516000</v>
      </c>
      <c r="H87" s="29">
        <v>348000</v>
      </c>
      <c r="I87" s="29"/>
      <c r="J87" s="40">
        <f t="shared" si="2"/>
        <v>5733000</v>
      </c>
      <c r="K87" s="41">
        <f>3950000+3000+1650000</f>
        <v>5603000</v>
      </c>
      <c r="L87" s="29">
        <v>130000</v>
      </c>
      <c r="M87" s="29"/>
      <c r="N87" s="29"/>
      <c r="O87" s="29"/>
      <c r="P87" s="39">
        <f t="shared" si="19"/>
        <v>12299700</v>
      </c>
    </row>
    <row r="88" spans="1:16" ht="63">
      <c r="A88" s="5" t="s">
        <v>203</v>
      </c>
      <c r="B88" s="6" t="s">
        <v>204</v>
      </c>
      <c r="C88" s="6" t="s">
        <v>59</v>
      </c>
      <c r="D88" s="12" t="s">
        <v>300</v>
      </c>
      <c r="E88" s="41">
        <f>350000-2637.11</f>
        <v>347362.89</v>
      </c>
      <c r="F88" s="22">
        <f t="shared" si="18"/>
        <v>347362.89</v>
      </c>
      <c r="G88" s="29"/>
      <c r="H88" s="29"/>
      <c r="I88" s="29"/>
      <c r="J88" s="40">
        <f t="shared" si="2"/>
        <v>0</v>
      </c>
      <c r="K88" s="41"/>
      <c r="L88" s="29"/>
      <c r="M88" s="29"/>
      <c r="N88" s="29"/>
      <c r="O88" s="29"/>
      <c r="P88" s="39">
        <f t="shared" si="19"/>
        <v>347362.89</v>
      </c>
    </row>
    <row r="89" spans="1:16" ht="31.5">
      <c r="A89" s="5" t="s">
        <v>205</v>
      </c>
      <c r="B89" s="6" t="s">
        <v>206</v>
      </c>
      <c r="C89" s="6" t="s">
        <v>146</v>
      </c>
      <c r="D89" s="17" t="s">
        <v>207</v>
      </c>
      <c r="E89" s="41">
        <f>50000+7000</f>
        <v>57000</v>
      </c>
      <c r="F89" s="22">
        <f t="shared" si="18"/>
        <v>57000</v>
      </c>
      <c r="G89" s="29"/>
      <c r="H89" s="29"/>
      <c r="I89" s="29"/>
      <c r="J89" s="40">
        <f aca="true" t="shared" si="20" ref="J89:J122">K89+L89+O89</f>
        <v>62000</v>
      </c>
      <c r="K89" s="41">
        <f>44000+18000</f>
        <v>62000</v>
      </c>
      <c r="L89" s="29"/>
      <c r="M89" s="29"/>
      <c r="N89" s="29"/>
      <c r="O89" s="29"/>
      <c r="P89" s="39">
        <f t="shared" si="19"/>
        <v>119000</v>
      </c>
    </row>
    <row r="90" spans="1:16" ht="15.75" hidden="1">
      <c r="A90" s="5" t="s">
        <v>217</v>
      </c>
      <c r="B90" s="6" t="s">
        <v>218</v>
      </c>
      <c r="C90" s="6" t="s">
        <v>219</v>
      </c>
      <c r="D90" s="17" t="s">
        <v>220</v>
      </c>
      <c r="E90" s="41"/>
      <c r="F90" s="22">
        <f t="shared" si="18"/>
        <v>0</v>
      </c>
      <c r="G90" s="29"/>
      <c r="H90" s="29"/>
      <c r="I90" s="29"/>
      <c r="J90" s="40">
        <f t="shared" si="20"/>
        <v>0</v>
      </c>
      <c r="K90" s="41"/>
      <c r="L90" s="29"/>
      <c r="M90" s="29"/>
      <c r="N90" s="29"/>
      <c r="O90" s="29"/>
      <c r="P90" s="39">
        <f t="shared" si="19"/>
        <v>0</v>
      </c>
    </row>
    <row r="91" spans="1:16" ht="126">
      <c r="A91" s="5" t="s">
        <v>208</v>
      </c>
      <c r="B91" s="6" t="s">
        <v>209</v>
      </c>
      <c r="C91" s="6" t="s">
        <v>39</v>
      </c>
      <c r="D91" s="17" t="s">
        <v>301</v>
      </c>
      <c r="E91" s="41">
        <f>503000+710000</f>
        <v>1213000</v>
      </c>
      <c r="F91" s="22">
        <f t="shared" si="18"/>
        <v>1213000</v>
      </c>
      <c r="G91" s="29"/>
      <c r="H91" s="29"/>
      <c r="I91" s="29"/>
      <c r="J91" s="40">
        <f t="shared" si="20"/>
        <v>0</v>
      </c>
      <c r="K91" s="41"/>
      <c r="L91" s="29"/>
      <c r="M91" s="29"/>
      <c r="N91" s="29"/>
      <c r="O91" s="29"/>
      <c r="P91" s="39">
        <f t="shared" si="19"/>
        <v>1213000</v>
      </c>
    </row>
    <row r="92" spans="1:16" ht="15.75">
      <c r="A92" s="5" t="s">
        <v>210</v>
      </c>
      <c r="B92" s="6" t="s">
        <v>211</v>
      </c>
      <c r="C92" s="6" t="s">
        <v>61</v>
      </c>
      <c r="D92" s="17" t="s">
        <v>212</v>
      </c>
      <c r="E92" s="41">
        <f>600000+56000+50000</f>
        <v>706000</v>
      </c>
      <c r="F92" s="22">
        <f t="shared" si="18"/>
        <v>706000</v>
      </c>
      <c r="G92" s="29"/>
      <c r="H92" s="29"/>
      <c r="I92" s="29"/>
      <c r="J92" s="40">
        <f t="shared" si="20"/>
        <v>0</v>
      </c>
      <c r="K92" s="41"/>
      <c r="L92" s="29"/>
      <c r="M92" s="29"/>
      <c r="N92" s="29"/>
      <c r="O92" s="29"/>
      <c r="P92" s="39">
        <f t="shared" si="19"/>
        <v>706000</v>
      </c>
    </row>
    <row r="93" spans="1:16" ht="31.5">
      <c r="A93" s="9">
        <v>10</v>
      </c>
      <c r="B93" s="27"/>
      <c r="C93" s="27"/>
      <c r="D93" s="20" t="s">
        <v>221</v>
      </c>
      <c r="E93" s="43">
        <f>E94+E96+E98</f>
        <v>7001004</v>
      </c>
      <c r="F93" s="31">
        <f aca="true" t="shared" si="21" ref="F93:P93">F94+F96+F98</f>
        <v>7001004</v>
      </c>
      <c r="G93" s="31">
        <f t="shared" si="21"/>
        <v>4793000</v>
      </c>
      <c r="H93" s="31">
        <f t="shared" si="21"/>
        <v>537500</v>
      </c>
      <c r="I93" s="31">
        <f t="shared" si="21"/>
        <v>0</v>
      </c>
      <c r="J93" s="40">
        <f t="shared" si="20"/>
        <v>588000</v>
      </c>
      <c r="K93" s="43">
        <f t="shared" si="21"/>
        <v>35000</v>
      </c>
      <c r="L93" s="31">
        <f t="shared" si="21"/>
        <v>553000</v>
      </c>
      <c r="M93" s="31">
        <f t="shared" si="21"/>
        <v>320000</v>
      </c>
      <c r="N93" s="31">
        <f t="shared" si="21"/>
        <v>125500</v>
      </c>
      <c r="O93" s="31">
        <f t="shared" si="21"/>
        <v>0</v>
      </c>
      <c r="P93" s="43">
        <f t="shared" si="21"/>
        <v>7589004</v>
      </c>
    </row>
    <row r="94" spans="1:16" ht="15.75">
      <c r="A94" s="2" t="s">
        <v>222</v>
      </c>
      <c r="B94" s="3" t="s">
        <v>79</v>
      </c>
      <c r="C94" s="4"/>
      <c r="D94" s="14" t="s">
        <v>80</v>
      </c>
      <c r="E94" s="43">
        <f>E95</f>
        <v>498400</v>
      </c>
      <c r="F94" s="31">
        <f aca="true" t="shared" si="22" ref="F94:P94">F95</f>
        <v>498400</v>
      </c>
      <c r="G94" s="31">
        <f t="shared" si="22"/>
        <v>402000</v>
      </c>
      <c r="H94" s="31">
        <f t="shared" si="22"/>
        <v>0</v>
      </c>
      <c r="I94" s="31">
        <f t="shared" si="22"/>
        <v>0</v>
      </c>
      <c r="J94" s="40">
        <f t="shared" si="20"/>
        <v>0</v>
      </c>
      <c r="K94" s="43">
        <f t="shared" si="22"/>
        <v>0</v>
      </c>
      <c r="L94" s="31">
        <f t="shared" si="22"/>
        <v>0</v>
      </c>
      <c r="M94" s="31">
        <f t="shared" si="22"/>
        <v>0</v>
      </c>
      <c r="N94" s="31">
        <f t="shared" si="22"/>
        <v>0</v>
      </c>
      <c r="O94" s="31">
        <f t="shared" si="22"/>
        <v>0</v>
      </c>
      <c r="P94" s="43">
        <f t="shared" si="22"/>
        <v>498400</v>
      </c>
    </row>
    <row r="95" spans="1:16" ht="31.5">
      <c r="A95" s="5" t="s">
        <v>223</v>
      </c>
      <c r="B95" s="6" t="s">
        <v>82</v>
      </c>
      <c r="C95" s="6" t="s">
        <v>83</v>
      </c>
      <c r="D95" s="17" t="s">
        <v>84</v>
      </c>
      <c r="E95" s="41">
        <v>498400</v>
      </c>
      <c r="F95" s="22">
        <f t="shared" si="18"/>
        <v>498400</v>
      </c>
      <c r="G95" s="29">
        <v>402000</v>
      </c>
      <c r="H95" s="29"/>
      <c r="I95" s="29"/>
      <c r="J95" s="40">
        <f t="shared" si="20"/>
        <v>0</v>
      </c>
      <c r="K95" s="41"/>
      <c r="L95" s="33"/>
      <c r="M95" s="29"/>
      <c r="N95" s="29"/>
      <c r="O95" s="29"/>
      <c r="P95" s="39">
        <f t="shared" si="19"/>
        <v>498400</v>
      </c>
    </row>
    <row r="96" spans="1:16" ht="15.75">
      <c r="A96" s="2" t="s">
        <v>224</v>
      </c>
      <c r="B96" s="3" t="s">
        <v>135</v>
      </c>
      <c r="C96" s="4"/>
      <c r="D96" s="14" t="s">
        <v>136</v>
      </c>
      <c r="E96" s="43">
        <f>E97</f>
        <v>2603244</v>
      </c>
      <c r="F96" s="31">
        <f aca="true" t="shared" si="23" ref="F96:P96">F97</f>
        <v>2603244</v>
      </c>
      <c r="G96" s="31">
        <f t="shared" si="23"/>
        <v>2000000</v>
      </c>
      <c r="H96" s="31">
        <f t="shared" si="23"/>
        <v>103000</v>
      </c>
      <c r="I96" s="31">
        <f t="shared" si="23"/>
        <v>0</v>
      </c>
      <c r="J96" s="40">
        <f t="shared" si="20"/>
        <v>260000</v>
      </c>
      <c r="K96" s="43">
        <f t="shared" si="23"/>
        <v>30000</v>
      </c>
      <c r="L96" s="31">
        <f t="shared" si="23"/>
        <v>230000</v>
      </c>
      <c r="M96" s="31">
        <f t="shared" si="23"/>
        <v>180000</v>
      </c>
      <c r="N96" s="31">
        <f t="shared" si="23"/>
        <v>33000</v>
      </c>
      <c r="O96" s="31">
        <f t="shared" si="23"/>
        <v>0</v>
      </c>
      <c r="P96" s="43">
        <f t="shared" si="23"/>
        <v>2863244</v>
      </c>
    </row>
    <row r="97" spans="1:16" ht="35.25" customHeight="1">
      <c r="A97" s="5" t="s">
        <v>225</v>
      </c>
      <c r="B97" s="6" t="s">
        <v>226</v>
      </c>
      <c r="C97" s="6" t="s">
        <v>68</v>
      </c>
      <c r="D97" s="17" t="s">
        <v>227</v>
      </c>
      <c r="E97" s="41">
        <f>2385000+15000+20244+183000</f>
        <v>2603244</v>
      </c>
      <c r="F97" s="22">
        <f t="shared" si="18"/>
        <v>2603244</v>
      </c>
      <c r="G97" s="29">
        <f>1850000+150000</f>
        <v>2000000</v>
      </c>
      <c r="H97" s="29">
        <f>88000+15000</f>
        <v>103000</v>
      </c>
      <c r="I97" s="29"/>
      <c r="J97" s="40">
        <f t="shared" si="20"/>
        <v>260000</v>
      </c>
      <c r="K97" s="41">
        <f>30000</f>
        <v>30000</v>
      </c>
      <c r="L97" s="29">
        <v>230000</v>
      </c>
      <c r="M97" s="29">
        <v>180000</v>
      </c>
      <c r="N97" s="29">
        <v>33000</v>
      </c>
      <c r="O97" s="29"/>
      <c r="P97" s="39">
        <f t="shared" si="19"/>
        <v>2863244</v>
      </c>
    </row>
    <row r="98" spans="1:16" ht="15.75">
      <c r="A98" s="2" t="s">
        <v>228</v>
      </c>
      <c r="B98" s="3" t="s">
        <v>229</v>
      </c>
      <c r="C98" s="4"/>
      <c r="D98" s="14" t="s">
        <v>230</v>
      </c>
      <c r="E98" s="43">
        <f>E99+E100+E101+E102+E103</f>
        <v>3899360</v>
      </c>
      <c r="F98" s="31">
        <f aca="true" t="shared" si="24" ref="F98:P98">F99+F100+F101+F102+F103</f>
        <v>3899360</v>
      </c>
      <c r="G98" s="31">
        <f t="shared" si="24"/>
        <v>2391000</v>
      </c>
      <c r="H98" s="31">
        <f t="shared" si="24"/>
        <v>434500</v>
      </c>
      <c r="I98" s="31">
        <f t="shared" si="24"/>
        <v>0</v>
      </c>
      <c r="J98" s="40">
        <f t="shared" si="20"/>
        <v>328000</v>
      </c>
      <c r="K98" s="43">
        <f t="shared" si="24"/>
        <v>5000</v>
      </c>
      <c r="L98" s="31">
        <f t="shared" si="24"/>
        <v>323000</v>
      </c>
      <c r="M98" s="31">
        <f t="shared" si="24"/>
        <v>140000</v>
      </c>
      <c r="N98" s="31">
        <f t="shared" si="24"/>
        <v>92500</v>
      </c>
      <c r="O98" s="31">
        <f t="shared" si="24"/>
        <v>0</v>
      </c>
      <c r="P98" s="43">
        <f t="shared" si="24"/>
        <v>4227360</v>
      </c>
    </row>
    <row r="99" spans="1:16" ht="31.5">
      <c r="A99" s="5" t="s">
        <v>231</v>
      </c>
      <c r="B99" s="6" t="s">
        <v>232</v>
      </c>
      <c r="C99" s="6" t="s">
        <v>233</v>
      </c>
      <c r="D99" s="17" t="s">
        <v>234</v>
      </c>
      <c r="E99" s="41">
        <f>75000+100000</f>
        <v>175000</v>
      </c>
      <c r="F99" s="22">
        <f t="shared" si="18"/>
        <v>175000</v>
      </c>
      <c r="G99" s="29"/>
      <c r="H99" s="29"/>
      <c r="I99" s="29"/>
      <c r="J99" s="40">
        <f t="shared" si="20"/>
        <v>0</v>
      </c>
      <c r="K99" s="41"/>
      <c r="L99" s="29"/>
      <c r="M99" s="29"/>
      <c r="N99" s="29"/>
      <c r="O99" s="29"/>
      <c r="P99" s="39">
        <f t="shared" si="19"/>
        <v>175000</v>
      </c>
    </row>
    <row r="100" spans="1:16" ht="15.75">
      <c r="A100" s="5" t="s">
        <v>235</v>
      </c>
      <c r="B100" s="6" t="s">
        <v>236</v>
      </c>
      <c r="C100" s="6" t="s">
        <v>237</v>
      </c>
      <c r="D100" s="17" t="s">
        <v>238</v>
      </c>
      <c r="E100" s="41">
        <f>1026600+5000-5000-183000</f>
        <v>843600</v>
      </c>
      <c r="F100" s="22">
        <f t="shared" si="18"/>
        <v>843600</v>
      </c>
      <c r="G100" s="29">
        <f>780000-150000</f>
        <v>630000</v>
      </c>
      <c r="H100" s="29">
        <v>61000</v>
      </c>
      <c r="I100" s="29"/>
      <c r="J100" s="40">
        <f t="shared" si="20"/>
        <v>5000</v>
      </c>
      <c r="K100" s="41">
        <v>5000</v>
      </c>
      <c r="L100" s="29"/>
      <c r="M100" s="29"/>
      <c r="N100" s="29"/>
      <c r="O100" s="29"/>
      <c r="P100" s="39">
        <f t="shared" si="19"/>
        <v>848600</v>
      </c>
    </row>
    <row r="101" spans="1:16" ht="15.75">
      <c r="A101" s="5" t="s">
        <v>239</v>
      </c>
      <c r="B101" s="6" t="s">
        <v>240</v>
      </c>
      <c r="C101" s="6" t="s">
        <v>237</v>
      </c>
      <c r="D101" s="17" t="s">
        <v>241</v>
      </c>
      <c r="E101" s="41">
        <f>423400+81740-12000-56000</f>
        <v>437140</v>
      </c>
      <c r="F101" s="22">
        <f t="shared" si="18"/>
        <v>437140</v>
      </c>
      <c r="G101" s="29">
        <f>320000+67000-56000</f>
        <v>331000</v>
      </c>
      <c r="H101" s="29">
        <v>28500</v>
      </c>
      <c r="I101" s="29"/>
      <c r="J101" s="40">
        <f t="shared" si="20"/>
        <v>3000</v>
      </c>
      <c r="K101" s="41"/>
      <c r="L101" s="29">
        <v>3000</v>
      </c>
      <c r="M101" s="29"/>
      <c r="N101" s="29"/>
      <c r="O101" s="29"/>
      <c r="P101" s="39">
        <f t="shared" si="19"/>
        <v>440140</v>
      </c>
    </row>
    <row r="102" spans="1:16" ht="31.5">
      <c r="A102" s="5" t="s">
        <v>242</v>
      </c>
      <c r="B102" s="6" t="s">
        <v>243</v>
      </c>
      <c r="C102" s="6" t="s">
        <v>244</v>
      </c>
      <c r="D102" s="17" t="s">
        <v>245</v>
      </c>
      <c r="E102" s="41">
        <f>1879400+250000+30000-15000+34020</f>
        <v>2178420</v>
      </c>
      <c r="F102" s="22">
        <f t="shared" si="18"/>
        <v>2178420</v>
      </c>
      <c r="G102" s="29">
        <v>1220000</v>
      </c>
      <c r="H102" s="29">
        <f>360000-15000</f>
        <v>345000</v>
      </c>
      <c r="I102" s="29"/>
      <c r="J102" s="40">
        <f t="shared" si="20"/>
        <v>320000</v>
      </c>
      <c r="K102" s="41"/>
      <c r="L102" s="29">
        <v>320000</v>
      </c>
      <c r="M102" s="29">
        <v>140000</v>
      </c>
      <c r="N102" s="29">
        <v>92500</v>
      </c>
      <c r="O102" s="29"/>
      <c r="P102" s="39">
        <f t="shared" si="19"/>
        <v>2498420</v>
      </c>
    </row>
    <row r="103" spans="1:16" ht="15.75">
      <c r="A103" s="5" t="s">
        <v>246</v>
      </c>
      <c r="B103" s="6" t="s">
        <v>247</v>
      </c>
      <c r="C103" s="6" t="s">
        <v>248</v>
      </c>
      <c r="D103" s="17" t="s">
        <v>249</v>
      </c>
      <c r="E103" s="41">
        <f>E104</f>
        <v>265200</v>
      </c>
      <c r="F103" s="29">
        <f aca="true" t="shared" si="25" ref="F103:P103">F104</f>
        <v>265200</v>
      </c>
      <c r="G103" s="29">
        <f t="shared" si="25"/>
        <v>210000</v>
      </c>
      <c r="H103" s="29">
        <f t="shared" si="25"/>
        <v>0</v>
      </c>
      <c r="I103" s="29">
        <f t="shared" si="25"/>
        <v>0</v>
      </c>
      <c r="J103" s="40">
        <f t="shared" si="20"/>
        <v>0</v>
      </c>
      <c r="K103" s="41">
        <f t="shared" si="25"/>
        <v>0</v>
      </c>
      <c r="L103" s="29">
        <f t="shared" si="25"/>
        <v>0</v>
      </c>
      <c r="M103" s="29">
        <f t="shared" si="25"/>
        <v>0</v>
      </c>
      <c r="N103" s="29">
        <f t="shared" si="25"/>
        <v>0</v>
      </c>
      <c r="O103" s="29">
        <f t="shared" si="25"/>
        <v>0</v>
      </c>
      <c r="P103" s="41">
        <f t="shared" si="25"/>
        <v>265200</v>
      </c>
    </row>
    <row r="104" spans="1:16" ht="15.75">
      <c r="A104" s="5"/>
      <c r="B104" s="6"/>
      <c r="C104" s="6"/>
      <c r="D104" s="13" t="s">
        <v>250</v>
      </c>
      <c r="E104" s="41">
        <v>265200</v>
      </c>
      <c r="F104" s="22">
        <f t="shared" si="18"/>
        <v>265200</v>
      </c>
      <c r="G104" s="29">
        <v>210000</v>
      </c>
      <c r="H104" s="29"/>
      <c r="I104" s="29"/>
      <c r="J104" s="40">
        <f t="shared" si="20"/>
        <v>0</v>
      </c>
      <c r="K104" s="41"/>
      <c r="L104" s="29"/>
      <c r="M104" s="29"/>
      <c r="N104" s="29"/>
      <c r="O104" s="29"/>
      <c r="P104" s="39">
        <f t="shared" si="19"/>
        <v>265200</v>
      </c>
    </row>
    <row r="105" spans="1:16" ht="31.5">
      <c r="A105" s="9">
        <v>11</v>
      </c>
      <c r="B105" s="27"/>
      <c r="C105" s="27"/>
      <c r="D105" s="20" t="s">
        <v>251</v>
      </c>
      <c r="E105" s="43">
        <f>E106+E108+E110</f>
        <v>2069000</v>
      </c>
      <c r="F105" s="31">
        <f aca="true" t="shared" si="26" ref="F105:P105">F106+F108+F110</f>
        <v>2069000</v>
      </c>
      <c r="G105" s="31">
        <f t="shared" si="26"/>
        <v>1188000</v>
      </c>
      <c r="H105" s="31">
        <f t="shared" si="26"/>
        <v>195000</v>
      </c>
      <c r="I105" s="31">
        <f t="shared" si="26"/>
        <v>0</v>
      </c>
      <c r="J105" s="40">
        <f t="shared" si="20"/>
        <v>60000</v>
      </c>
      <c r="K105" s="43">
        <f t="shared" si="26"/>
        <v>60000</v>
      </c>
      <c r="L105" s="31">
        <f t="shared" si="26"/>
        <v>0</v>
      </c>
      <c r="M105" s="31">
        <f t="shared" si="26"/>
        <v>0</v>
      </c>
      <c r="N105" s="31">
        <f t="shared" si="26"/>
        <v>0</v>
      </c>
      <c r="O105" s="31">
        <f t="shared" si="26"/>
        <v>0</v>
      </c>
      <c r="P105" s="43">
        <f t="shared" si="26"/>
        <v>2129000</v>
      </c>
    </row>
    <row r="106" spans="1:21" s="28" customFormat="1" ht="15.75">
      <c r="A106" s="2" t="s">
        <v>252</v>
      </c>
      <c r="B106" s="3" t="s">
        <v>79</v>
      </c>
      <c r="C106" s="4"/>
      <c r="D106" s="14" t="s">
        <v>80</v>
      </c>
      <c r="E106" s="43">
        <f>E107</f>
        <v>413000</v>
      </c>
      <c r="F106" s="31">
        <f aca="true" t="shared" si="27" ref="F106:P106">F107</f>
        <v>413000</v>
      </c>
      <c r="G106" s="31">
        <f t="shared" si="27"/>
        <v>338000</v>
      </c>
      <c r="H106" s="31">
        <f t="shared" si="27"/>
        <v>0</v>
      </c>
      <c r="I106" s="31">
        <f t="shared" si="27"/>
        <v>0</v>
      </c>
      <c r="J106" s="40">
        <f t="shared" si="20"/>
        <v>0</v>
      </c>
      <c r="K106" s="43">
        <f t="shared" si="27"/>
        <v>0</v>
      </c>
      <c r="L106" s="31">
        <f t="shared" si="27"/>
        <v>0</v>
      </c>
      <c r="M106" s="31">
        <f t="shared" si="27"/>
        <v>0</v>
      </c>
      <c r="N106" s="31">
        <f t="shared" si="27"/>
        <v>0</v>
      </c>
      <c r="O106" s="31">
        <f t="shared" si="27"/>
        <v>0</v>
      </c>
      <c r="P106" s="43">
        <f t="shared" si="27"/>
        <v>413000</v>
      </c>
      <c r="U106" s="24"/>
    </row>
    <row r="107" spans="1:21" ht="31.5">
      <c r="A107" s="5" t="s">
        <v>253</v>
      </c>
      <c r="B107" s="6" t="s">
        <v>82</v>
      </c>
      <c r="C107" s="6" t="s">
        <v>83</v>
      </c>
      <c r="D107" s="17" t="s">
        <v>84</v>
      </c>
      <c r="E107" s="41">
        <v>413000</v>
      </c>
      <c r="F107" s="22">
        <f t="shared" si="18"/>
        <v>413000</v>
      </c>
      <c r="G107" s="29">
        <v>338000</v>
      </c>
      <c r="H107" s="29"/>
      <c r="I107" s="29"/>
      <c r="J107" s="40">
        <f t="shared" si="20"/>
        <v>0</v>
      </c>
      <c r="K107" s="41"/>
      <c r="L107" s="29"/>
      <c r="M107" s="29"/>
      <c r="N107" s="29"/>
      <c r="O107" s="29"/>
      <c r="P107" s="39">
        <f t="shared" si="19"/>
        <v>413000</v>
      </c>
      <c r="U107" s="28"/>
    </row>
    <row r="108" spans="1:16" ht="15.75">
      <c r="A108" s="2" t="s">
        <v>254</v>
      </c>
      <c r="B108" s="3" t="s">
        <v>96</v>
      </c>
      <c r="C108" s="3"/>
      <c r="D108" s="21" t="s">
        <v>97</v>
      </c>
      <c r="E108" s="43">
        <f>E109</f>
        <v>60000</v>
      </c>
      <c r="F108" s="31">
        <f aca="true" t="shared" si="28" ref="F108:P108">F109</f>
        <v>60000</v>
      </c>
      <c r="G108" s="31">
        <f t="shared" si="28"/>
        <v>0</v>
      </c>
      <c r="H108" s="31">
        <f t="shared" si="28"/>
        <v>0</v>
      </c>
      <c r="I108" s="31">
        <f t="shared" si="28"/>
        <v>0</v>
      </c>
      <c r="J108" s="40">
        <f t="shared" si="20"/>
        <v>0</v>
      </c>
      <c r="K108" s="43">
        <f t="shared" si="28"/>
        <v>0</v>
      </c>
      <c r="L108" s="31">
        <f t="shared" si="28"/>
        <v>0</v>
      </c>
      <c r="M108" s="31">
        <f t="shared" si="28"/>
        <v>0</v>
      </c>
      <c r="N108" s="31">
        <f t="shared" si="28"/>
        <v>0</v>
      </c>
      <c r="O108" s="31">
        <f t="shared" si="28"/>
        <v>0</v>
      </c>
      <c r="P108" s="43">
        <f t="shared" si="28"/>
        <v>60000</v>
      </c>
    </row>
    <row r="109" spans="1:16" ht="15.75">
      <c r="A109" s="5" t="s">
        <v>255</v>
      </c>
      <c r="B109" s="6" t="s">
        <v>256</v>
      </c>
      <c r="C109" s="6" t="s">
        <v>39</v>
      </c>
      <c r="D109" s="17" t="s">
        <v>257</v>
      </c>
      <c r="E109" s="41">
        <f>30000+30000</f>
        <v>60000</v>
      </c>
      <c r="F109" s="22">
        <f t="shared" si="18"/>
        <v>60000</v>
      </c>
      <c r="G109" s="29"/>
      <c r="H109" s="29"/>
      <c r="I109" s="29"/>
      <c r="J109" s="40">
        <f t="shared" si="20"/>
        <v>0</v>
      </c>
      <c r="K109" s="41"/>
      <c r="L109" s="29"/>
      <c r="M109" s="29"/>
      <c r="N109" s="29"/>
      <c r="O109" s="29"/>
      <c r="P109" s="39">
        <f t="shared" si="19"/>
        <v>60000</v>
      </c>
    </row>
    <row r="110" spans="1:16" ht="15.75">
      <c r="A110" s="2" t="s">
        <v>258</v>
      </c>
      <c r="B110" s="3" t="s">
        <v>138</v>
      </c>
      <c r="C110" s="3"/>
      <c r="D110" s="14" t="s">
        <v>139</v>
      </c>
      <c r="E110" s="43">
        <f>E111+E112+E113</f>
        <v>1596000</v>
      </c>
      <c r="F110" s="31">
        <f aca="true" t="shared" si="29" ref="F110:P110">F111+F112+F113</f>
        <v>1596000</v>
      </c>
      <c r="G110" s="31">
        <f t="shared" si="29"/>
        <v>850000</v>
      </c>
      <c r="H110" s="31">
        <f t="shared" si="29"/>
        <v>195000</v>
      </c>
      <c r="I110" s="31">
        <f t="shared" si="29"/>
        <v>0</v>
      </c>
      <c r="J110" s="40">
        <f t="shared" si="20"/>
        <v>60000</v>
      </c>
      <c r="K110" s="43">
        <f t="shared" si="29"/>
        <v>60000</v>
      </c>
      <c r="L110" s="31">
        <f t="shared" si="29"/>
        <v>0</v>
      </c>
      <c r="M110" s="31">
        <f t="shared" si="29"/>
        <v>0</v>
      </c>
      <c r="N110" s="31">
        <f t="shared" si="29"/>
        <v>0</v>
      </c>
      <c r="O110" s="31">
        <f t="shared" si="29"/>
        <v>0</v>
      </c>
      <c r="P110" s="43">
        <f t="shared" si="29"/>
        <v>1656000</v>
      </c>
    </row>
    <row r="111" spans="1:16" ht="31.5">
      <c r="A111" s="5" t="s">
        <v>259</v>
      </c>
      <c r="B111" s="6" t="s">
        <v>260</v>
      </c>
      <c r="C111" s="6" t="s">
        <v>70</v>
      </c>
      <c r="D111" s="15" t="s">
        <v>261</v>
      </c>
      <c r="E111" s="41">
        <f>60000+100000+30000+100000</f>
        <v>290000</v>
      </c>
      <c r="F111" s="22">
        <f t="shared" si="18"/>
        <v>290000</v>
      </c>
      <c r="G111" s="29"/>
      <c r="H111" s="29"/>
      <c r="I111" s="29"/>
      <c r="J111" s="40">
        <f t="shared" si="20"/>
        <v>60000</v>
      </c>
      <c r="K111" s="41">
        <v>60000</v>
      </c>
      <c r="L111" s="29"/>
      <c r="M111" s="29"/>
      <c r="N111" s="29"/>
      <c r="O111" s="29"/>
      <c r="P111" s="39">
        <f t="shared" si="19"/>
        <v>350000</v>
      </c>
    </row>
    <row r="112" spans="1:16" ht="31.5">
      <c r="A112" s="5" t="s">
        <v>262</v>
      </c>
      <c r="B112" s="6" t="s">
        <v>263</v>
      </c>
      <c r="C112" s="6" t="s">
        <v>70</v>
      </c>
      <c r="D112" s="17" t="s">
        <v>264</v>
      </c>
      <c r="E112" s="41">
        <v>8000</v>
      </c>
      <c r="F112" s="22">
        <f t="shared" si="18"/>
        <v>8000</v>
      </c>
      <c r="G112" s="29"/>
      <c r="H112" s="29"/>
      <c r="I112" s="29"/>
      <c r="J112" s="40">
        <f t="shared" si="20"/>
        <v>0</v>
      </c>
      <c r="K112" s="41"/>
      <c r="L112" s="29"/>
      <c r="M112" s="29"/>
      <c r="N112" s="29"/>
      <c r="O112" s="29"/>
      <c r="P112" s="39">
        <f t="shared" si="19"/>
        <v>8000</v>
      </c>
    </row>
    <row r="113" spans="1:16" ht="15.75">
      <c r="A113" s="5" t="s">
        <v>265</v>
      </c>
      <c r="B113" s="6" t="s">
        <v>266</v>
      </c>
      <c r="C113" s="6" t="s">
        <v>70</v>
      </c>
      <c r="D113" s="17" t="s">
        <v>267</v>
      </c>
      <c r="E113" s="41">
        <f>1270000+10000+8000+10000</f>
        <v>1298000</v>
      </c>
      <c r="F113" s="22">
        <f t="shared" si="18"/>
        <v>1298000</v>
      </c>
      <c r="G113" s="29">
        <v>850000</v>
      </c>
      <c r="H113" s="29">
        <f>185000+10000</f>
        <v>195000</v>
      </c>
      <c r="I113" s="29"/>
      <c r="J113" s="40">
        <f t="shared" si="20"/>
        <v>0</v>
      </c>
      <c r="K113" s="41"/>
      <c r="L113" s="29"/>
      <c r="M113" s="29"/>
      <c r="N113" s="29"/>
      <c r="O113" s="29"/>
      <c r="P113" s="39">
        <f t="shared" si="19"/>
        <v>1298000</v>
      </c>
    </row>
    <row r="114" spans="1:16" ht="31.5">
      <c r="A114" s="9">
        <v>37</v>
      </c>
      <c r="B114" s="27"/>
      <c r="C114" s="27"/>
      <c r="D114" s="20" t="s">
        <v>268</v>
      </c>
      <c r="E114" s="43">
        <f>E115+E117+E119</f>
        <v>2493584.62</v>
      </c>
      <c r="F114" s="43">
        <f aca="true" t="shared" si="30" ref="F114:P114">F115+F117+F119</f>
        <v>2493584.62</v>
      </c>
      <c r="G114" s="43">
        <f t="shared" si="30"/>
        <v>1285000</v>
      </c>
      <c r="H114" s="43">
        <f t="shared" si="30"/>
        <v>61000</v>
      </c>
      <c r="I114" s="43">
        <f t="shared" si="30"/>
        <v>0</v>
      </c>
      <c r="J114" s="43">
        <f t="shared" si="30"/>
        <v>7914735</v>
      </c>
      <c r="K114" s="43">
        <f t="shared" si="30"/>
        <v>7914735</v>
      </c>
      <c r="L114" s="43">
        <f t="shared" si="30"/>
        <v>0</v>
      </c>
      <c r="M114" s="43">
        <f t="shared" si="30"/>
        <v>0</v>
      </c>
      <c r="N114" s="43">
        <f t="shared" si="30"/>
        <v>0</v>
      </c>
      <c r="O114" s="43">
        <f t="shared" si="30"/>
        <v>0</v>
      </c>
      <c r="P114" s="43">
        <f t="shared" si="30"/>
        <v>10408319.620000001</v>
      </c>
    </row>
    <row r="115" spans="1:16" ht="15.75">
      <c r="A115" s="2" t="s">
        <v>269</v>
      </c>
      <c r="B115" s="3" t="s">
        <v>79</v>
      </c>
      <c r="C115" s="4"/>
      <c r="D115" s="14" t="s">
        <v>80</v>
      </c>
      <c r="E115" s="43">
        <f>E116</f>
        <v>1813000</v>
      </c>
      <c r="F115" s="31">
        <f aca="true" t="shared" si="31" ref="F115:P115">F116</f>
        <v>1813000</v>
      </c>
      <c r="G115" s="31">
        <f t="shared" si="31"/>
        <v>1285000</v>
      </c>
      <c r="H115" s="31">
        <f t="shared" si="31"/>
        <v>61000</v>
      </c>
      <c r="I115" s="31">
        <f t="shared" si="31"/>
        <v>0</v>
      </c>
      <c r="J115" s="40">
        <f t="shared" si="20"/>
        <v>0</v>
      </c>
      <c r="K115" s="43">
        <f t="shared" si="31"/>
        <v>0</v>
      </c>
      <c r="L115" s="31">
        <f t="shared" si="31"/>
        <v>0</v>
      </c>
      <c r="M115" s="31">
        <f t="shared" si="31"/>
        <v>0</v>
      </c>
      <c r="N115" s="31">
        <f t="shared" si="31"/>
        <v>0</v>
      </c>
      <c r="O115" s="31">
        <f t="shared" si="31"/>
        <v>0</v>
      </c>
      <c r="P115" s="43">
        <f t="shared" si="31"/>
        <v>1813000</v>
      </c>
    </row>
    <row r="116" spans="1:16" ht="31.5">
      <c r="A116" s="5" t="s">
        <v>270</v>
      </c>
      <c r="B116" s="6" t="s">
        <v>82</v>
      </c>
      <c r="C116" s="6" t="s">
        <v>83</v>
      </c>
      <c r="D116" s="17" t="s">
        <v>84</v>
      </c>
      <c r="E116" s="41">
        <f>1785000+28000</f>
        <v>1813000</v>
      </c>
      <c r="F116" s="22">
        <f t="shared" si="18"/>
        <v>1813000</v>
      </c>
      <c r="G116" s="29">
        <v>1285000</v>
      </c>
      <c r="H116" s="29">
        <v>61000</v>
      </c>
      <c r="I116" s="29"/>
      <c r="J116" s="40">
        <f t="shared" si="20"/>
        <v>0</v>
      </c>
      <c r="K116" s="41"/>
      <c r="L116" s="29"/>
      <c r="M116" s="29"/>
      <c r="N116" s="29"/>
      <c r="O116" s="29"/>
      <c r="P116" s="39">
        <f t="shared" si="19"/>
        <v>1813000</v>
      </c>
    </row>
    <row r="117" spans="1:16" ht="15.75">
      <c r="A117" s="2" t="s">
        <v>271</v>
      </c>
      <c r="B117" s="3" t="s">
        <v>130</v>
      </c>
      <c r="C117" s="4"/>
      <c r="D117" s="14" t="s">
        <v>131</v>
      </c>
      <c r="E117" s="43">
        <f>E118</f>
        <v>173</v>
      </c>
      <c r="F117" s="31">
        <f aca="true" t="shared" si="32" ref="F117:P117">F118</f>
        <v>173</v>
      </c>
      <c r="G117" s="31">
        <f t="shared" si="32"/>
        <v>0</v>
      </c>
      <c r="H117" s="31">
        <f t="shared" si="32"/>
        <v>0</v>
      </c>
      <c r="I117" s="31">
        <f t="shared" si="32"/>
        <v>0</v>
      </c>
      <c r="J117" s="40">
        <f t="shared" si="20"/>
        <v>0</v>
      </c>
      <c r="K117" s="43">
        <f t="shared" si="32"/>
        <v>0</v>
      </c>
      <c r="L117" s="31">
        <f t="shared" si="32"/>
        <v>0</v>
      </c>
      <c r="M117" s="31">
        <f t="shared" si="32"/>
        <v>0</v>
      </c>
      <c r="N117" s="31">
        <f t="shared" si="32"/>
        <v>0</v>
      </c>
      <c r="O117" s="31">
        <f t="shared" si="32"/>
        <v>0</v>
      </c>
      <c r="P117" s="43">
        <f t="shared" si="32"/>
        <v>173</v>
      </c>
    </row>
    <row r="118" spans="1:16" ht="15.75">
      <c r="A118" s="5" t="s">
        <v>272</v>
      </c>
      <c r="B118" s="6" t="s">
        <v>273</v>
      </c>
      <c r="C118" s="6" t="s">
        <v>20</v>
      </c>
      <c r="D118" s="13" t="s">
        <v>274</v>
      </c>
      <c r="E118" s="41">
        <f>945000-369000-440827-135000</f>
        <v>173</v>
      </c>
      <c r="F118" s="22">
        <f t="shared" si="18"/>
        <v>173</v>
      </c>
      <c r="G118" s="29"/>
      <c r="H118" s="29"/>
      <c r="I118" s="29"/>
      <c r="J118" s="40">
        <f t="shared" si="20"/>
        <v>0</v>
      </c>
      <c r="K118" s="41"/>
      <c r="L118" s="29"/>
      <c r="M118" s="29"/>
      <c r="N118" s="29"/>
      <c r="O118" s="29"/>
      <c r="P118" s="39">
        <f t="shared" si="19"/>
        <v>173</v>
      </c>
    </row>
    <row r="119" spans="1:21" s="28" customFormat="1" ht="15.75">
      <c r="A119" s="2" t="s">
        <v>293</v>
      </c>
      <c r="B119" s="3" t="s">
        <v>287</v>
      </c>
      <c r="C119" s="3"/>
      <c r="D119" s="21" t="s">
        <v>290</v>
      </c>
      <c r="E119" s="43">
        <f>E120+E121</f>
        <v>680411.62</v>
      </c>
      <c r="F119" s="43">
        <f>F120+F121</f>
        <v>680411.62</v>
      </c>
      <c r="G119" s="43">
        <f aca="true" t="shared" si="33" ref="G119:P119">G120+G121</f>
        <v>0</v>
      </c>
      <c r="H119" s="43">
        <f t="shared" si="33"/>
        <v>0</v>
      </c>
      <c r="I119" s="43">
        <f t="shared" si="33"/>
        <v>0</v>
      </c>
      <c r="J119" s="43">
        <f t="shared" si="33"/>
        <v>7914735</v>
      </c>
      <c r="K119" s="43">
        <f t="shared" si="33"/>
        <v>7914735</v>
      </c>
      <c r="L119" s="43">
        <f t="shared" si="33"/>
        <v>0</v>
      </c>
      <c r="M119" s="43">
        <f t="shared" si="33"/>
        <v>0</v>
      </c>
      <c r="N119" s="43">
        <f t="shared" si="33"/>
        <v>0</v>
      </c>
      <c r="O119" s="43">
        <f t="shared" si="33"/>
        <v>0</v>
      </c>
      <c r="P119" s="43">
        <f t="shared" si="33"/>
        <v>8595146.620000001</v>
      </c>
      <c r="U119" s="24"/>
    </row>
    <row r="120" spans="1:21" ht="31.5">
      <c r="A120" s="5" t="s">
        <v>294</v>
      </c>
      <c r="B120" s="6" t="s">
        <v>288</v>
      </c>
      <c r="C120" s="6" t="s">
        <v>19</v>
      </c>
      <c r="D120" s="50" t="s">
        <v>291</v>
      </c>
      <c r="E120" s="41">
        <v>372511.76</v>
      </c>
      <c r="F120" s="22">
        <f t="shared" si="18"/>
        <v>372511.76</v>
      </c>
      <c r="G120" s="29"/>
      <c r="H120" s="29"/>
      <c r="I120" s="29"/>
      <c r="J120" s="40">
        <f t="shared" si="20"/>
        <v>0</v>
      </c>
      <c r="K120" s="41"/>
      <c r="L120" s="29"/>
      <c r="M120" s="29"/>
      <c r="N120" s="29"/>
      <c r="O120" s="29"/>
      <c r="P120" s="39">
        <f t="shared" si="19"/>
        <v>372511.76</v>
      </c>
      <c r="U120" s="28"/>
    </row>
    <row r="121" spans="1:16" ht="15.75">
      <c r="A121" s="5" t="s">
        <v>295</v>
      </c>
      <c r="B121" s="6" t="s">
        <v>289</v>
      </c>
      <c r="C121" s="6" t="s">
        <v>19</v>
      </c>
      <c r="D121" s="49" t="s">
        <v>292</v>
      </c>
      <c r="E121" s="41">
        <v>307899.86</v>
      </c>
      <c r="F121" s="22">
        <f t="shared" si="18"/>
        <v>307899.86</v>
      </c>
      <c r="G121" s="29"/>
      <c r="H121" s="29"/>
      <c r="I121" s="29"/>
      <c r="J121" s="40">
        <f t="shared" si="20"/>
        <v>7914735</v>
      </c>
      <c r="K121" s="41">
        <f>738891+7175844</f>
        <v>7914735</v>
      </c>
      <c r="L121" s="29"/>
      <c r="M121" s="29"/>
      <c r="N121" s="29"/>
      <c r="O121" s="29"/>
      <c r="P121" s="39">
        <f t="shared" si="19"/>
        <v>8222634.86</v>
      </c>
    </row>
    <row r="122" spans="1:21" s="28" customFormat="1" ht="18.75">
      <c r="A122" s="67" t="s">
        <v>276</v>
      </c>
      <c r="B122" s="68"/>
      <c r="C122" s="68"/>
      <c r="D122" s="68"/>
      <c r="E122" s="43">
        <f>E16+E47+E60+E93+E105+E114</f>
        <v>188242950</v>
      </c>
      <c r="F122" s="31">
        <f>F16+F47+F60+F93+F105+F114</f>
        <v>188242950</v>
      </c>
      <c r="G122" s="30">
        <f>G16+G47+G60+G93+G105+G114</f>
        <v>71076123.97</v>
      </c>
      <c r="H122" s="30">
        <f>H16+H47+H60+H93+H105+H114</f>
        <v>9364527.8</v>
      </c>
      <c r="I122" s="31">
        <f>I16+I47+I60+I93+I105+I114</f>
        <v>0</v>
      </c>
      <c r="J122" s="57">
        <f t="shared" si="20"/>
        <v>28041487</v>
      </c>
      <c r="K122" s="43">
        <f>K16+K47+K60+K93+K105+K114</f>
        <v>24915634</v>
      </c>
      <c r="L122" s="31">
        <f>L16+L47+L60+L93+L105+L114</f>
        <v>2940853</v>
      </c>
      <c r="M122" s="31">
        <f>M16+M47+M60+M93+M105+M114</f>
        <v>470000</v>
      </c>
      <c r="N122" s="31">
        <f>N16+N47+N60+N93+N105+N114</f>
        <v>161500</v>
      </c>
      <c r="O122" s="31">
        <f>O16+O47+O60+O93+O105+O114</f>
        <v>185000</v>
      </c>
      <c r="P122" s="44">
        <f t="shared" si="19"/>
        <v>216284437</v>
      </c>
      <c r="U122" s="24"/>
    </row>
    <row r="123" s="46" customFormat="1" ht="12.75">
      <c r="U123" s="28"/>
    </row>
    <row r="124" s="46" customFormat="1" ht="54" customHeight="1"/>
    <row r="125" s="46" customFormat="1" ht="12.75"/>
    <row r="126" spans="1:21" s="59" customFormat="1" ht="18.75">
      <c r="A126" s="58" t="s">
        <v>321</v>
      </c>
      <c r="B126" s="58"/>
      <c r="C126" s="58"/>
      <c r="D126" s="58"/>
      <c r="E126" s="58" t="s">
        <v>322</v>
      </c>
      <c r="U126" s="46"/>
    </row>
    <row r="127" spans="5:21" ht="18.75">
      <c r="E127" s="38"/>
      <c r="J127" s="38"/>
      <c r="K127" s="38"/>
      <c r="P127" s="38"/>
      <c r="U127" s="59"/>
    </row>
    <row r="128" spans="5:16" ht="12.75">
      <c r="E128" s="38">
        <f>E122-E130</f>
        <v>788959</v>
      </c>
      <c r="F128" s="24">
        <f aca="true" t="shared" si="34" ref="F128:P128">F122-F130</f>
        <v>788959</v>
      </c>
      <c r="G128" s="24">
        <f t="shared" si="34"/>
        <v>-259903</v>
      </c>
      <c r="H128" s="24">
        <f t="shared" si="34"/>
        <v>0</v>
      </c>
      <c r="I128" s="24">
        <f t="shared" si="34"/>
        <v>0</v>
      </c>
      <c r="J128" s="38">
        <f t="shared" si="34"/>
        <v>1251041</v>
      </c>
      <c r="K128" s="38">
        <f t="shared" si="34"/>
        <v>1251041</v>
      </c>
      <c r="L128" s="24">
        <f t="shared" si="34"/>
        <v>0</v>
      </c>
      <c r="M128" s="24">
        <f t="shared" si="34"/>
        <v>0</v>
      </c>
      <c r="N128" s="24">
        <f t="shared" si="34"/>
        <v>0</v>
      </c>
      <c r="O128" s="24">
        <f t="shared" si="34"/>
        <v>0</v>
      </c>
      <c r="P128" s="47">
        <f t="shared" si="34"/>
        <v>2040000</v>
      </c>
    </row>
    <row r="129" spans="5:16" ht="12.75">
      <c r="E129" s="38"/>
      <c r="J129" s="38"/>
      <c r="K129" s="38"/>
      <c r="P129" s="38"/>
    </row>
    <row r="130" spans="5:16" ht="12.75">
      <c r="E130" s="38">
        <v>187453991</v>
      </c>
      <c r="F130" s="24">
        <v>187453991</v>
      </c>
      <c r="G130" s="24">
        <v>71336026.97</v>
      </c>
      <c r="H130" s="24">
        <v>9364527.8</v>
      </c>
      <c r="J130" s="38">
        <v>26790446</v>
      </c>
      <c r="K130" s="38">
        <v>23664593</v>
      </c>
      <c r="L130" s="24">
        <v>2940853</v>
      </c>
      <c r="M130" s="24">
        <v>470000</v>
      </c>
      <c r="N130" s="24">
        <v>161500</v>
      </c>
      <c r="O130" s="24">
        <v>185000</v>
      </c>
      <c r="P130" s="38">
        <v>214244437</v>
      </c>
    </row>
    <row r="132" ht="12.75">
      <c r="H132" s="24">
        <f>9364527.8-H122</f>
        <v>0</v>
      </c>
    </row>
    <row r="133" ht="12.75">
      <c r="E133" s="48"/>
    </row>
    <row r="134" spans="14:21" s="34" customFormat="1" ht="15.75">
      <c r="N134" s="61">
        <f>K122+O122</f>
        <v>25100634</v>
      </c>
      <c r="O134" s="61"/>
      <c r="P134" s="60" t="s">
        <v>320</v>
      </c>
      <c r="U134" s="24"/>
    </row>
    <row r="135" ht="15.75">
      <c r="U135" s="34"/>
    </row>
  </sheetData>
  <sheetProtection/>
  <mergeCells count="28">
    <mergeCell ref="A8:P8"/>
    <mergeCell ref="A7:P7"/>
    <mergeCell ref="G13:G14"/>
    <mergeCell ref="H13:H14"/>
    <mergeCell ref="G12:H12"/>
    <mergeCell ref="I12:I14"/>
    <mergeCell ref="J12:J14"/>
    <mergeCell ref="O12:O14"/>
    <mergeCell ref="M13:M14"/>
    <mergeCell ref="K2:P2"/>
    <mergeCell ref="K5:P5"/>
    <mergeCell ref="E12:E14"/>
    <mergeCell ref="K12:K14"/>
    <mergeCell ref="L12:L14"/>
    <mergeCell ref="M12:N12"/>
    <mergeCell ref="F12:F14"/>
    <mergeCell ref="K4:P4"/>
    <mergeCell ref="K3:P3"/>
    <mergeCell ref="E11:I11"/>
    <mergeCell ref="N134:O134"/>
    <mergeCell ref="J11:O11"/>
    <mergeCell ref="P11:P14"/>
    <mergeCell ref="A11:A14"/>
    <mergeCell ref="B11:B14"/>
    <mergeCell ref="C11:C14"/>
    <mergeCell ref="D11:D14"/>
    <mergeCell ref="N13:N14"/>
    <mergeCell ref="A122:D122"/>
  </mergeCells>
  <printOptions/>
  <pageMargins left="0.2" right="0.2" top="0.26" bottom="0.23" header="0.24" footer="0.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2019-07-26T10:40:01Z</cp:lastPrinted>
  <dcterms:created xsi:type="dcterms:W3CDTF">2018-12-04T09:08:53Z</dcterms:created>
  <dcterms:modified xsi:type="dcterms:W3CDTF">2019-09-14T09:15:12Z</dcterms:modified>
  <cp:category/>
  <cp:version/>
  <cp:contentType/>
  <cp:contentStatus/>
</cp:coreProperties>
</file>