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155" windowHeight="9870"/>
  </bookViews>
  <sheets>
    <sheet name="Лист1 (2)" sheetId="2" r:id="rId1"/>
  </sheets>
  <calcPr calcId="125725"/>
</workbook>
</file>

<file path=xl/calcChain.xml><?xml version="1.0" encoding="utf-8"?>
<calcChain xmlns="http://schemas.openxmlformats.org/spreadsheetml/2006/main">
  <c r="C64" i="2"/>
  <c r="E64" s="1"/>
  <c r="C63"/>
  <c r="E63" s="1"/>
  <c r="C62"/>
  <c r="E62" s="1"/>
  <c r="D61"/>
  <c r="C61"/>
  <c r="D60"/>
  <c r="C60"/>
  <c r="D59"/>
  <c r="C59"/>
  <c r="D58"/>
  <c r="C58"/>
  <c r="D57"/>
  <c r="C57"/>
  <c r="C56"/>
  <c r="E56" s="1"/>
  <c r="D55"/>
  <c r="C55"/>
  <c r="D54"/>
  <c r="C54"/>
  <c r="D51"/>
  <c r="D50"/>
  <c r="D49"/>
  <c r="D47"/>
  <c r="D46"/>
  <c r="D45"/>
  <c r="D44"/>
  <c r="D42"/>
  <c r="D41"/>
  <c r="D40"/>
  <c r="D38"/>
  <c r="D37"/>
  <c r="D36"/>
  <c r="D35"/>
  <c r="D34"/>
  <c r="D33"/>
  <c r="D31"/>
  <c r="D30"/>
  <c r="D29"/>
  <c r="D27"/>
  <c r="D24"/>
  <c r="D22"/>
  <c r="D21"/>
  <c r="D20"/>
  <c r="D19"/>
  <c r="D18"/>
  <c r="D17"/>
  <c r="D16"/>
  <c r="D15"/>
  <c r="D14"/>
  <c r="D13"/>
  <c r="D11"/>
  <c r="D10"/>
  <c r="D9"/>
  <c r="D8"/>
  <c r="D7"/>
  <c r="C51"/>
  <c r="E51" s="1"/>
  <c r="C50"/>
  <c r="C49"/>
  <c r="E49" s="1"/>
  <c r="C48"/>
  <c r="E48" s="1"/>
  <c r="C47"/>
  <c r="C46"/>
  <c r="C45"/>
  <c r="C44"/>
  <c r="C43"/>
  <c r="E43" s="1"/>
  <c r="C42"/>
  <c r="C41"/>
  <c r="E41" s="1"/>
  <c r="C40"/>
  <c r="C39"/>
  <c r="E39" s="1"/>
  <c r="C38"/>
  <c r="C37"/>
  <c r="C36"/>
  <c r="C35"/>
  <c r="C34"/>
  <c r="C33"/>
  <c r="C32"/>
  <c r="E32" s="1"/>
  <c r="C31"/>
  <c r="E31" s="1"/>
  <c r="C30"/>
  <c r="C29"/>
  <c r="E29" s="1"/>
  <c r="C28"/>
  <c r="E28" s="1"/>
  <c r="C27"/>
  <c r="C26"/>
  <c r="E26" s="1"/>
  <c r="C25"/>
  <c r="E25" s="1"/>
  <c r="C24"/>
  <c r="C23"/>
  <c r="E23" s="1"/>
  <c r="C22"/>
  <c r="C21"/>
  <c r="E21" s="1"/>
  <c r="C20"/>
  <c r="C19"/>
  <c r="E19" s="1"/>
  <c r="C18"/>
  <c r="C17"/>
  <c r="E17" s="1"/>
  <c r="C16"/>
  <c r="C15"/>
  <c r="E15" s="1"/>
  <c r="C14"/>
  <c r="C13"/>
  <c r="E13" s="1"/>
  <c r="C12"/>
  <c r="E12" s="1"/>
  <c r="C11"/>
  <c r="C10"/>
  <c r="C9"/>
  <c r="C8"/>
  <c r="C7"/>
  <c r="E58" l="1"/>
  <c r="E61"/>
  <c r="E8"/>
  <c r="E44"/>
  <c r="E54"/>
  <c r="E34"/>
  <c r="E38"/>
  <c r="E45"/>
  <c r="C52"/>
  <c r="E10"/>
  <c r="E24"/>
  <c r="E36"/>
  <c r="E46"/>
  <c r="E9"/>
  <c r="E14"/>
  <c r="E18"/>
  <c r="E22"/>
  <c r="E30"/>
  <c r="E35"/>
  <c r="E40"/>
  <c r="E50"/>
  <c r="E57"/>
  <c r="E7"/>
  <c r="E11"/>
  <c r="E16"/>
  <c r="E20"/>
  <c r="E27"/>
  <c r="E33"/>
  <c r="E37"/>
  <c r="E42"/>
  <c r="E47"/>
  <c r="E55"/>
  <c r="E59"/>
  <c r="D65"/>
  <c r="C65"/>
  <c r="E60"/>
  <c r="D52"/>
  <c r="E52" s="1"/>
  <c r="D67" l="1"/>
  <c r="C67"/>
  <c r="E65"/>
  <c r="E67" l="1"/>
</calcChain>
</file>

<file path=xl/sharedStrings.xml><?xml version="1.0" encoding="utf-8"?>
<sst xmlns="http://schemas.openxmlformats.org/spreadsheetml/2006/main" count="128" uniqueCount="107">
  <si>
    <t>Загальний фонд</t>
  </si>
  <si>
    <t>Код</t>
  </si>
  <si>
    <t>Найменування</t>
  </si>
  <si>
    <t>0160</t>
  </si>
  <si>
    <t>0180</t>
  </si>
  <si>
    <t>Інша діяльність у сфері державного управління</t>
  </si>
  <si>
    <t>1010</t>
  </si>
  <si>
    <t>Надання дошкільної освіти</t>
  </si>
  <si>
    <t>1021</t>
  </si>
  <si>
    <t>1031</t>
  </si>
  <si>
    <t>1041</t>
  </si>
  <si>
    <t>1070</t>
  </si>
  <si>
    <t>1080</t>
  </si>
  <si>
    <t>Надання спеціальної освіти мистецькими школами</t>
  </si>
  <si>
    <t>1141</t>
  </si>
  <si>
    <t>Забезпечення діяльності інших закладів у сфері освіти</t>
  </si>
  <si>
    <t>1152</t>
  </si>
  <si>
    <t>1160</t>
  </si>
  <si>
    <t>Забезпечення діяльності центрів професійного розвитку педагогічних працівників</t>
  </si>
  <si>
    <t>1200</t>
  </si>
  <si>
    <t>1210</t>
  </si>
  <si>
    <t>2010</t>
  </si>
  <si>
    <t>Багатопрофільна стаціонарна медична допомога населенню</t>
  </si>
  <si>
    <t>2111</t>
  </si>
  <si>
    <t>2144</t>
  </si>
  <si>
    <t>Централізовані заходи з лікування хворих на цукровий та нецукровий діабет</t>
  </si>
  <si>
    <t>3032</t>
  </si>
  <si>
    <t>3033</t>
  </si>
  <si>
    <t>3035</t>
  </si>
  <si>
    <t>3050</t>
  </si>
  <si>
    <t>Пільгове медичне обслуговування осіб, які постраждали внаслідок Чорнобильської катастрофи</t>
  </si>
  <si>
    <t>3104</t>
  </si>
  <si>
    <t>3112</t>
  </si>
  <si>
    <t>Заходи державної політики з питань дітей та їх соціального захисту</t>
  </si>
  <si>
    <t>3121</t>
  </si>
  <si>
    <t xml:space="preserve">Утримання та забезпечення діяльності центрів соціальних служб </t>
  </si>
  <si>
    <t>3133</t>
  </si>
  <si>
    <t>Інші заходи та заклади молодіжної політики</t>
  </si>
  <si>
    <t>3160</t>
  </si>
  <si>
    <t>3192</t>
  </si>
  <si>
    <t>3242</t>
  </si>
  <si>
    <t>Інші заходи у сфері соціального захисту і соціального забезпечення</t>
  </si>
  <si>
    <t>4020</t>
  </si>
  <si>
    <t>4030</t>
  </si>
  <si>
    <t>Забезпечення діяльності бібліотек</t>
  </si>
  <si>
    <t>4040</t>
  </si>
  <si>
    <t>4060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</si>
  <si>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</si>
  <si>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</si>
  <si>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</si>
  <si>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</si>
  <si>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</si>
  <si>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5041</t>
  </si>
  <si>
    <t>Утримання та фінансова підтримка спортивних споруд</t>
  </si>
  <si>
    <t>6013</t>
  </si>
  <si>
    <t>Забезпечення діяльності водопровідно-каналізаційного господарства</t>
  </si>
  <si>
    <t>6017</t>
  </si>
  <si>
    <t>Інша діяльність, пов’язана з експлуатацією об’єктів житлово-комунального господарства</t>
  </si>
  <si>
    <t>6020</t>
  </si>
  <si>
    <t>6030</t>
  </si>
  <si>
    <t>Організація благоустрою населених пунктів</t>
  </si>
  <si>
    <t>7130</t>
  </si>
  <si>
    <t>Здійснення  заходів із землеустрою</t>
  </si>
  <si>
    <t>7520</t>
  </si>
  <si>
    <t>Реалізація Національної програми інформатизації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</si>
  <si>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</si>
  <si>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</si>
  <si>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</si>
  <si>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</si>
  <si>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</si>
  <si>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</si>
  <si>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8410</t>
  </si>
  <si>
    <t>Фінансова підтримка засобів масової інформації</t>
  </si>
  <si>
    <t>ВСЬОГО:</t>
  </si>
  <si>
    <t>Керівництво і управління ОМС</t>
  </si>
  <si>
    <t>Надання загальної середньої освіти -МБ</t>
  </si>
  <si>
    <t>Надання загальної середньої освіти -ДБ</t>
  </si>
  <si>
    <t>Надання загальної середньої освіти залишки субвенції ДБ</t>
  </si>
  <si>
    <t xml:space="preserve">Надання позашкільної освіти </t>
  </si>
  <si>
    <t xml:space="preserve">Забезпечення діяльності інклюзивно-ресурсних центрів </t>
  </si>
  <si>
    <t>Надання освіти за рахунок субвенції з державного бюджету особам з особливими освітніми потребами</t>
  </si>
  <si>
    <t>Надання освіти за рахунок залишку коштів за субвенцією з державного бюджету  особам з особливими освітніми потребами</t>
  </si>
  <si>
    <t>Первинна медична допомога населенню</t>
  </si>
  <si>
    <t>Надання пільг послуг зв'язку</t>
  </si>
  <si>
    <t xml:space="preserve">Пільговий проїзд автомобільним транспортом </t>
  </si>
  <si>
    <t>Пільговий проїзд на залізничному транспорті</t>
  </si>
  <si>
    <t>Територіальний центр</t>
  </si>
  <si>
    <t>Надання соціальних гарантій фізичним особам, які надають соціальні послуги громадянам похилого віку</t>
  </si>
  <si>
    <t>Надання фінансової підтримки громадським об`єднанням  ветеранів і осіб з інвалідністю</t>
  </si>
  <si>
    <t>Фінансова підтримка фiлармонiй, художніх і музичних колективів</t>
  </si>
  <si>
    <t>Забезпечення діяльності музеїв</t>
  </si>
  <si>
    <t xml:space="preserve">Забезпечення діяльності палаців i будинків культури, клубів, центрів дозвілля </t>
  </si>
  <si>
    <t>ДЮСШ</t>
  </si>
  <si>
    <t>Комунсервіс</t>
  </si>
  <si>
    <t>за 1 квартал 2021 року</t>
  </si>
  <si>
    <t xml:space="preserve"> </t>
  </si>
  <si>
    <t>тис грн</t>
  </si>
  <si>
    <t>7350</t>
  </si>
  <si>
    <t>Розроблення схем планування та забудови територій (містобудівної документації)</t>
  </si>
  <si>
    <t>Спеціальний фонд</t>
  </si>
  <si>
    <t>План</t>
  </si>
  <si>
    <t>Факт</t>
  </si>
  <si>
    <t xml:space="preserve">% виконання </t>
  </si>
  <si>
    <t>РАЗОМ ВИДАТКИ</t>
  </si>
  <si>
    <t>Начальник фінансового управління</t>
  </si>
  <si>
    <t>Валентина МАТВІЄНКО</t>
  </si>
  <si>
    <t>Пояснювальна щодо виконання видаткової частини бюджету Березанської міської ТГ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</si>
</sst>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2" fillId="0" borderId="1" xfId="1" applyNumberFormat="1" applyFont="1" applyBorder="1" applyAlignment="1" applyProtection="1">
      <alignment horizontal="center" vertical="center" wrapText="1"/>
    </xf>
    <xf numFmtId="164" fontId="4" fillId="0" borderId="0" xfId="1" applyNumberFormat="1" applyFont="1" applyBorder="1" applyAlignment="1" applyProtection="1">
      <alignment horizontal="left" vertical="top" wrapText="1"/>
    </xf>
    <xf numFmtId="164" fontId="5" fillId="0" borderId="0" xfId="1" applyNumberFormat="1" applyFont="1" applyBorder="1" applyAlignment="1" applyProtection="1">
      <alignment horizontal="left" vertical="top" wrapText="1"/>
    </xf>
    <xf numFmtId="164" fontId="4" fillId="0" borderId="1" xfId="1" applyNumberFormat="1" applyFont="1" applyBorder="1" applyAlignment="1" applyProtection="1">
      <alignment horizontal="left" vertical="top" wrapText="1"/>
    </xf>
    <xf numFmtId="164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2" fillId="0" borderId="0" xfId="1" applyNumberFormat="1" applyFont="1" applyBorder="1" applyAlignment="1" applyProtection="1">
      <alignment horizontal="center" vertical="top" wrapText="1"/>
    </xf>
    <xf numFmtId="164" fontId="4" fillId="0" borderId="0" xfId="1" applyNumberFormat="1" applyFont="1" applyBorder="1" applyAlignment="1" applyProtection="1">
      <alignment horizontal="left" vertical="top" wrapText="1"/>
    </xf>
    <xf numFmtId="164" fontId="9" fillId="0" borderId="1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1" applyFont="1" applyBorder="1" applyAlignment="1" applyProtection="1">
      <alignment horizontal="left" vertical="top" wrapText="1"/>
    </xf>
    <xf numFmtId="164" fontId="2" fillId="0" borderId="1" xfId="1" applyNumberFormat="1" applyFont="1" applyFill="1" applyBorder="1" applyAlignment="1" applyProtection="1">
      <alignment horizontal="center" vertical="top" wrapText="1"/>
    </xf>
    <xf numFmtId="164" fontId="2" fillId="0" borderId="1" xfId="1" applyNumberFormat="1" applyFont="1" applyBorder="1" applyAlignment="1" applyProtection="1">
      <alignment horizontal="left" vertical="top" wrapText="1"/>
    </xf>
    <xf numFmtId="164" fontId="2" fillId="0" borderId="1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A2" sqref="A2:E2"/>
    </sheetView>
  </sheetViews>
  <sheetFormatPr defaultRowHeight="15"/>
  <cols>
    <col min="1" max="1" width="7.42578125" style="7" customWidth="1"/>
    <col min="2" max="2" width="58" style="7" customWidth="1"/>
    <col min="3" max="5" width="11.140625" style="7" customWidth="1"/>
    <col min="6" max="16384" width="9.140625" style="7"/>
  </cols>
  <sheetData>
    <row r="1" spans="1:5" ht="15.75">
      <c r="A1" s="14" t="s">
        <v>106</v>
      </c>
      <c r="B1" s="14"/>
      <c r="C1" s="14"/>
      <c r="D1" s="14"/>
      <c r="E1" s="14"/>
    </row>
    <row r="2" spans="1:5" ht="15.75">
      <c r="A2" s="14" t="s">
        <v>94</v>
      </c>
      <c r="B2" s="14"/>
      <c r="C2" s="14"/>
      <c r="D2" s="14"/>
      <c r="E2" s="14"/>
    </row>
    <row r="3" spans="1:5" ht="15.75">
      <c r="A3" s="15" t="s">
        <v>95</v>
      </c>
      <c r="B3" s="15"/>
      <c r="C3" s="2"/>
      <c r="D3" s="2"/>
      <c r="E3" s="3" t="s">
        <v>96</v>
      </c>
    </row>
    <row r="4" spans="1:5" s="13" customFormat="1" ht="0.75" customHeight="1">
      <c r="A4" s="16" t="s">
        <v>1</v>
      </c>
      <c r="B4" s="16" t="s">
        <v>2</v>
      </c>
      <c r="C4" s="16" t="s">
        <v>100</v>
      </c>
      <c r="D4" s="16" t="s">
        <v>101</v>
      </c>
      <c r="E4" s="16" t="s">
        <v>102</v>
      </c>
    </row>
    <row r="5" spans="1:5" s="13" customFormat="1" ht="31.5" customHeight="1">
      <c r="A5" s="16"/>
      <c r="B5" s="16"/>
      <c r="C5" s="16"/>
      <c r="D5" s="16"/>
      <c r="E5" s="16"/>
    </row>
    <row r="6" spans="1:5" ht="15.75">
      <c r="A6" s="1"/>
      <c r="B6" s="22" t="s">
        <v>0</v>
      </c>
      <c r="C6" s="22"/>
      <c r="D6" s="22"/>
      <c r="E6" s="1"/>
    </row>
    <row r="7" spans="1:5" ht="18.75" customHeight="1">
      <c r="A7" s="4" t="s">
        <v>3</v>
      </c>
      <c r="B7" s="4" t="s">
        <v>74</v>
      </c>
      <c r="C7" s="5">
        <f>9776628.41/1000</f>
        <v>9776.6284099999993</v>
      </c>
      <c r="D7" s="5">
        <f>8646021.25/1000</f>
        <v>8646.0212499999998</v>
      </c>
      <c r="E7" s="5">
        <f>D7/C7*100</f>
        <v>88.435612845389926</v>
      </c>
    </row>
    <row r="8" spans="1:5" ht="18.75" customHeight="1">
      <c r="A8" s="4" t="s">
        <v>4</v>
      </c>
      <c r="B8" s="4" t="s">
        <v>5</v>
      </c>
      <c r="C8" s="5">
        <f>450000/1000</f>
        <v>450</v>
      </c>
      <c r="D8" s="5">
        <f>111626.74/1000</f>
        <v>111.62674000000001</v>
      </c>
      <c r="E8" s="5">
        <f t="shared" ref="E8:E52" si="0">D8/C8*100</f>
        <v>24.805942222222225</v>
      </c>
    </row>
    <row r="9" spans="1:5" ht="18.75" customHeight="1">
      <c r="A9" s="4" t="s">
        <v>6</v>
      </c>
      <c r="B9" s="4" t="s">
        <v>7</v>
      </c>
      <c r="C9" s="5">
        <f>5713470/1000</f>
        <v>5713.47</v>
      </c>
      <c r="D9" s="5">
        <f>4434314.29/1000</f>
        <v>4434.3142900000003</v>
      </c>
      <c r="E9" s="5">
        <f t="shared" si="0"/>
        <v>77.611579127920521</v>
      </c>
    </row>
    <row r="10" spans="1:5" ht="18.75" customHeight="1">
      <c r="A10" s="4" t="s">
        <v>8</v>
      </c>
      <c r="B10" s="4" t="s">
        <v>75</v>
      </c>
      <c r="C10" s="5">
        <f>8339976/1000</f>
        <v>8339.9760000000006</v>
      </c>
      <c r="D10" s="5">
        <f>6276532.52/1000</f>
        <v>6276.5325199999997</v>
      </c>
      <c r="E10" s="5">
        <f t="shared" si="0"/>
        <v>75.258400263981557</v>
      </c>
    </row>
    <row r="11" spans="1:5" ht="18.75" customHeight="1">
      <c r="A11" s="4" t="s">
        <v>9</v>
      </c>
      <c r="B11" s="4" t="s">
        <v>76</v>
      </c>
      <c r="C11" s="5">
        <f>13242900/1000</f>
        <v>13242.9</v>
      </c>
      <c r="D11" s="5">
        <f>13128429.33/1000</f>
        <v>13128.429330000001</v>
      </c>
      <c r="E11" s="5">
        <f t="shared" si="0"/>
        <v>99.13560723104456</v>
      </c>
    </row>
    <row r="12" spans="1:5" ht="18.75" customHeight="1">
      <c r="A12" s="4" t="s">
        <v>10</v>
      </c>
      <c r="B12" s="4" t="s">
        <v>77</v>
      </c>
      <c r="C12" s="5">
        <f>1625/1000</f>
        <v>1.625</v>
      </c>
      <c r="D12" s="5">
        <v>0</v>
      </c>
      <c r="E12" s="5">
        <f t="shared" si="0"/>
        <v>0</v>
      </c>
    </row>
    <row r="13" spans="1:5" ht="18.75" customHeight="1">
      <c r="A13" s="4" t="s">
        <v>11</v>
      </c>
      <c r="B13" s="4" t="s">
        <v>78</v>
      </c>
      <c r="C13" s="5">
        <f>392800/1000</f>
        <v>392.8</v>
      </c>
      <c r="D13" s="5">
        <f>272089.96/1000</f>
        <v>272.08996000000002</v>
      </c>
      <c r="E13" s="5">
        <f t="shared" si="0"/>
        <v>69.269338085539715</v>
      </c>
    </row>
    <row r="14" spans="1:5" ht="18.75" customHeight="1">
      <c r="A14" s="4" t="s">
        <v>12</v>
      </c>
      <c r="B14" s="4" t="s">
        <v>13</v>
      </c>
      <c r="C14" s="5">
        <f>1475000/1000</f>
        <v>1475</v>
      </c>
      <c r="D14" s="5">
        <f>1308472.94/1000</f>
        <v>1308.4729399999999</v>
      </c>
      <c r="E14" s="5">
        <f t="shared" si="0"/>
        <v>88.710029830508461</v>
      </c>
    </row>
    <row r="15" spans="1:5" ht="18.75" customHeight="1">
      <c r="A15" s="4" t="s">
        <v>14</v>
      </c>
      <c r="B15" s="4" t="s">
        <v>15</v>
      </c>
      <c r="C15" s="5">
        <f>570336/1000</f>
        <v>570.33600000000001</v>
      </c>
      <c r="D15" s="5">
        <f>494838.42/1000</f>
        <v>494.83841999999999</v>
      </c>
      <c r="E15" s="5">
        <f t="shared" si="0"/>
        <v>86.762613617236156</v>
      </c>
    </row>
    <row r="16" spans="1:5" ht="18.75" customHeight="1">
      <c r="A16" s="4" t="s">
        <v>16</v>
      </c>
      <c r="B16" s="4" t="s">
        <v>79</v>
      </c>
      <c r="C16" s="5">
        <f>316600/1000</f>
        <v>316.60000000000002</v>
      </c>
      <c r="D16" s="5">
        <f>229452.72/1000</f>
        <v>229.45272</v>
      </c>
      <c r="E16" s="5">
        <f t="shared" si="0"/>
        <v>72.474011370814907</v>
      </c>
    </row>
    <row r="17" spans="1:5" ht="32.25" customHeight="1">
      <c r="A17" s="4" t="s">
        <v>17</v>
      </c>
      <c r="B17" s="4" t="s">
        <v>18</v>
      </c>
      <c r="C17" s="5">
        <f>102650/1000</f>
        <v>102.65</v>
      </c>
      <c r="D17" s="5">
        <f>94930.16/1000</f>
        <v>94.930160000000001</v>
      </c>
      <c r="E17" s="5">
        <f t="shared" si="0"/>
        <v>92.479454456892356</v>
      </c>
    </row>
    <row r="18" spans="1:5" ht="32.25" customHeight="1">
      <c r="A18" s="4" t="s">
        <v>19</v>
      </c>
      <c r="B18" s="4" t="s">
        <v>80</v>
      </c>
      <c r="C18" s="5">
        <f>29806/1000</f>
        <v>29.806000000000001</v>
      </c>
      <c r="D18" s="5">
        <f>29806/1000</f>
        <v>29.806000000000001</v>
      </c>
      <c r="E18" s="5">
        <f t="shared" si="0"/>
        <v>100</v>
      </c>
    </row>
    <row r="19" spans="1:5" ht="48.75" customHeight="1">
      <c r="A19" s="4" t="s">
        <v>20</v>
      </c>
      <c r="B19" s="4" t="s">
        <v>81</v>
      </c>
      <c r="C19" s="5">
        <f>120208/1000</f>
        <v>120.208</v>
      </c>
      <c r="D19" s="5">
        <f>37976.47/1000</f>
        <v>37.976469999999999</v>
      </c>
      <c r="E19" s="5">
        <f t="shared" si="0"/>
        <v>31.592298349527486</v>
      </c>
    </row>
    <row r="20" spans="1:5" ht="30.75" customHeight="1">
      <c r="A20" s="4" t="s">
        <v>21</v>
      </c>
      <c r="B20" s="4" t="s">
        <v>22</v>
      </c>
      <c r="C20" s="5">
        <f>1261364.37/1000</f>
        <v>1261.36437</v>
      </c>
      <c r="D20" s="5">
        <f>1206040/1000</f>
        <v>1206.04</v>
      </c>
      <c r="E20" s="5">
        <f t="shared" si="0"/>
        <v>95.613926370855069</v>
      </c>
    </row>
    <row r="21" spans="1:5" ht="15.75">
      <c r="A21" s="4" t="s">
        <v>23</v>
      </c>
      <c r="B21" s="4" t="s">
        <v>82</v>
      </c>
      <c r="C21" s="5">
        <f>244866/1000</f>
        <v>244.86600000000001</v>
      </c>
      <c r="D21" s="5">
        <f>171390.52/1000</f>
        <v>171.39051999999998</v>
      </c>
      <c r="E21" s="5">
        <f t="shared" si="0"/>
        <v>69.993596497676265</v>
      </c>
    </row>
    <row r="22" spans="1:5" ht="31.5" customHeight="1">
      <c r="A22" s="4" t="s">
        <v>24</v>
      </c>
      <c r="B22" s="4" t="s">
        <v>25</v>
      </c>
      <c r="C22" s="5">
        <f>232480/1000</f>
        <v>232.48</v>
      </c>
      <c r="D22" s="5">
        <f>209780.96/1000</f>
        <v>209.78095999999999</v>
      </c>
      <c r="E22" s="5">
        <f t="shared" si="0"/>
        <v>90.236132140399178</v>
      </c>
    </row>
    <row r="23" spans="1:5" ht="16.5" customHeight="1">
      <c r="A23" s="4" t="s">
        <v>26</v>
      </c>
      <c r="B23" s="4" t="s">
        <v>83</v>
      </c>
      <c r="C23" s="5">
        <f>40000/1000</f>
        <v>40</v>
      </c>
      <c r="D23" s="5">
        <v>0</v>
      </c>
      <c r="E23" s="5">
        <f t="shared" si="0"/>
        <v>0</v>
      </c>
    </row>
    <row r="24" spans="1:5" ht="16.5" customHeight="1">
      <c r="A24" s="4" t="s">
        <v>27</v>
      </c>
      <c r="B24" s="4" t="s">
        <v>84</v>
      </c>
      <c r="C24" s="5">
        <f>80000/1000</f>
        <v>80</v>
      </c>
      <c r="D24" s="5">
        <f>23580/1000</f>
        <v>23.58</v>
      </c>
      <c r="E24" s="5">
        <f t="shared" si="0"/>
        <v>29.474999999999994</v>
      </c>
    </row>
    <row r="25" spans="1:5" ht="16.5" customHeight="1">
      <c r="A25" s="4" t="s">
        <v>28</v>
      </c>
      <c r="B25" s="4" t="s">
        <v>85</v>
      </c>
      <c r="C25" s="5">
        <f>60000/1000</f>
        <v>60</v>
      </c>
      <c r="D25" s="5">
        <v>0</v>
      </c>
      <c r="E25" s="5">
        <f t="shared" si="0"/>
        <v>0</v>
      </c>
    </row>
    <row r="26" spans="1:5" ht="31.5" customHeight="1">
      <c r="A26" s="4" t="s">
        <v>29</v>
      </c>
      <c r="B26" s="4" t="s">
        <v>30</v>
      </c>
      <c r="C26" s="5">
        <f>317672/1000</f>
        <v>317.67200000000003</v>
      </c>
      <c r="D26" s="5">
        <v>0</v>
      </c>
      <c r="E26" s="5">
        <f t="shared" si="0"/>
        <v>0</v>
      </c>
    </row>
    <row r="27" spans="1:5" ht="15.75">
      <c r="A27" s="4" t="s">
        <v>31</v>
      </c>
      <c r="B27" s="4" t="s">
        <v>86</v>
      </c>
      <c r="C27" s="5">
        <f>2181200/1000</f>
        <v>2181.1999999999998</v>
      </c>
      <c r="D27" s="5">
        <f>1917488.07/1000</f>
        <v>1917.4880700000001</v>
      </c>
      <c r="E27" s="5">
        <f t="shared" si="0"/>
        <v>87.909777645332852</v>
      </c>
    </row>
    <row r="28" spans="1:5" ht="31.5" customHeight="1">
      <c r="A28" s="4" t="s">
        <v>32</v>
      </c>
      <c r="B28" s="4" t="s">
        <v>33</v>
      </c>
      <c r="C28" s="5">
        <f>10000/1000</f>
        <v>10</v>
      </c>
      <c r="D28" s="5">
        <v>0</v>
      </c>
      <c r="E28" s="5">
        <f t="shared" si="0"/>
        <v>0</v>
      </c>
    </row>
    <row r="29" spans="1:5" ht="31.5" customHeight="1">
      <c r="A29" s="4" t="s">
        <v>34</v>
      </c>
      <c r="B29" s="4" t="s">
        <v>35</v>
      </c>
      <c r="C29" s="5">
        <f>223000/1000</f>
        <v>223</v>
      </c>
      <c r="D29" s="5">
        <f>183781.95/1000</f>
        <v>183.78195000000002</v>
      </c>
      <c r="E29" s="5">
        <f t="shared" si="0"/>
        <v>82.413430493273552</v>
      </c>
    </row>
    <row r="30" spans="1:5" ht="15.75" customHeight="1">
      <c r="A30" s="4" t="s">
        <v>36</v>
      </c>
      <c r="B30" s="4" t="s">
        <v>37</v>
      </c>
      <c r="C30" s="5">
        <f>19000/1000</f>
        <v>19</v>
      </c>
      <c r="D30" s="5">
        <f>15297.12/1000</f>
        <v>15.297120000000001</v>
      </c>
      <c r="E30" s="5">
        <f t="shared" si="0"/>
        <v>80.511157894736854</v>
      </c>
    </row>
    <row r="31" spans="1:5" ht="31.5" customHeight="1">
      <c r="A31" s="4" t="s">
        <v>38</v>
      </c>
      <c r="B31" s="4" t="s">
        <v>87</v>
      </c>
      <c r="C31" s="5">
        <f>326320/1000</f>
        <v>326.32</v>
      </c>
      <c r="D31" s="5">
        <f>104750.51/1000</f>
        <v>104.75050999999999</v>
      </c>
      <c r="E31" s="5">
        <f t="shared" si="0"/>
        <v>32.100548541309145</v>
      </c>
    </row>
    <row r="32" spans="1:5" ht="31.5" customHeight="1">
      <c r="A32" s="4" t="s">
        <v>39</v>
      </c>
      <c r="B32" s="4" t="s">
        <v>88</v>
      </c>
      <c r="C32" s="5">
        <f>15000/1000</f>
        <v>15</v>
      </c>
      <c r="D32" s="5">
        <v>0</v>
      </c>
      <c r="E32" s="5">
        <f t="shared" si="0"/>
        <v>0</v>
      </c>
    </row>
    <row r="33" spans="1:5" ht="31.5" customHeight="1">
      <c r="A33" s="4" t="s">
        <v>40</v>
      </c>
      <c r="B33" s="4" t="s">
        <v>41</v>
      </c>
      <c r="C33" s="5">
        <f>145700/1000</f>
        <v>145.69999999999999</v>
      </c>
      <c r="D33" s="5">
        <f>144627.1/1000</f>
        <v>144.62710000000001</v>
      </c>
      <c r="E33" s="5">
        <f t="shared" si="0"/>
        <v>99.263623884694596</v>
      </c>
    </row>
    <row r="34" spans="1:5" ht="31.5" customHeight="1">
      <c r="A34" s="4" t="s">
        <v>42</v>
      </c>
      <c r="B34" s="4" t="s">
        <v>89</v>
      </c>
      <c r="C34" s="5">
        <f>30000/1000</f>
        <v>30</v>
      </c>
      <c r="D34" s="5">
        <f>11500/1000</f>
        <v>11.5</v>
      </c>
      <c r="E34" s="5">
        <f t="shared" si="0"/>
        <v>38.333333333333336</v>
      </c>
    </row>
    <row r="35" spans="1:5" ht="18.75" customHeight="1">
      <c r="A35" s="4" t="s">
        <v>43</v>
      </c>
      <c r="B35" s="4" t="s">
        <v>44</v>
      </c>
      <c r="C35" s="5">
        <f>434900/1000</f>
        <v>434.9</v>
      </c>
      <c r="D35" s="5">
        <f>396040.18/1000</f>
        <v>396.04018000000002</v>
      </c>
      <c r="E35" s="5">
        <f t="shared" si="0"/>
        <v>91.064653943435275</v>
      </c>
    </row>
    <row r="36" spans="1:5" ht="15.75">
      <c r="A36" s="4" t="s">
        <v>45</v>
      </c>
      <c r="B36" s="4" t="s">
        <v>90</v>
      </c>
      <c r="C36" s="5">
        <f>226700/1000</f>
        <v>226.7</v>
      </c>
      <c r="D36" s="5">
        <f>183974.13/1000</f>
        <v>183.97413</v>
      </c>
      <c r="E36" s="5">
        <f t="shared" si="0"/>
        <v>81.153123070136743</v>
      </c>
    </row>
    <row r="37" spans="1:5" ht="30.75" customHeight="1">
      <c r="A37" s="4" t="s">
        <v>46</v>
      </c>
      <c r="B37" s="4" t="s">
        <v>91</v>
      </c>
      <c r="C37" s="5">
        <f>1050000/1000</f>
        <v>1050</v>
      </c>
      <c r="D37" s="5">
        <f>832132.4/1000</f>
        <v>832.13240000000008</v>
      </c>
      <c r="E37" s="5">
        <f t="shared" si="0"/>
        <v>79.250704761904771</v>
      </c>
    </row>
    <row r="38" spans="1:5" ht="30.75" customHeight="1">
      <c r="A38" s="4" t="s">
        <v>47</v>
      </c>
      <c r="B38" s="4" t="s">
        <v>48</v>
      </c>
      <c r="C38" s="5">
        <f>36000/1000</f>
        <v>36</v>
      </c>
      <c r="D38" s="5">
        <f>30027/1000</f>
        <v>30.027000000000001</v>
      </c>
      <c r="E38" s="5">
        <f t="shared" si="0"/>
        <v>83.408333333333346</v>
      </c>
    </row>
    <row r="39" spans="1:5" ht="30.75" customHeight="1">
      <c r="A39" s="4" t="s">
        <v>49</v>
      </c>
      <c r="B39" s="4" t="s">
        <v>50</v>
      </c>
      <c r="C39" s="5">
        <f>1000/1000</f>
        <v>1</v>
      </c>
      <c r="D39" s="5">
        <v>0</v>
      </c>
      <c r="E39" s="5">
        <f t="shared" si="0"/>
        <v>0</v>
      </c>
    </row>
    <row r="40" spans="1:5" ht="15.75">
      <c r="A40" s="4" t="s">
        <v>51</v>
      </c>
      <c r="B40" s="4" t="s">
        <v>92</v>
      </c>
      <c r="C40" s="5">
        <f>651910/1000</f>
        <v>651.91</v>
      </c>
      <c r="D40" s="5">
        <f>478094.04/1000</f>
        <v>478.09404000000001</v>
      </c>
      <c r="E40" s="5">
        <f t="shared" si="0"/>
        <v>73.337430013345411</v>
      </c>
    </row>
    <row r="41" spans="1:5" ht="17.25" customHeight="1">
      <c r="A41" s="4" t="s">
        <v>52</v>
      </c>
      <c r="B41" s="4" t="s">
        <v>53</v>
      </c>
      <c r="C41" s="5">
        <f>517000/1000</f>
        <v>517</v>
      </c>
      <c r="D41" s="5">
        <f>444220.65/1000</f>
        <v>444.22065000000003</v>
      </c>
      <c r="E41" s="5">
        <f t="shared" si="0"/>
        <v>85.922756286266932</v>
      </c>
    </row>
    <row r="42" spans="1:5" ht="32.25" customHeight="1">
      <c r="A42" s="4" t="s">
        <v>54</v>
      </c>
      <c r="B42" s="4" t="s">
        <v>55</v>
      </c>
      <c r="C42" s="5">
        <f>200000/1000</f>
        <v>200</v>
      </c>
      <c r="D42" s="5">
        <f>150000/1000</f>
        <v>150</v>
      </c>
      <c r="E42" s="5">
        <f t="shared" si="0"/>
        <v>75</v>
      </c>
    </row>
    <row r="43" spans="1:5" ht="32.25" customHeight="1">
      <c r="A43" s="4" t="s">
        <v>56</v>
      </c>
      <c r="B43" s="4" t="s">
        <v>57</v>
      </c>
      <c r="C43" s="5">
        <f>30000/1000</f>
        <v>30</v>
      </c>
      <c r="D43" s="5">
        <v>0</v>
      </c>
      <c r="E43" s="5">
        <f t="shared" si="0"/>
        <v>0</v>
      </c>
    </row>
    <row r="44" spans="1:5" ht="18" customHeight="1">
      <c r="A44" s="4" t="s">
        <v>58</v>
      </c>
      <c r="B44" s="4" t="s">
        <v>93</v>
      </c>
      <c r="C44" s="5">
        <f>950000/1000</f>
        <v>950</v>
      </c>
      <c r="D44" s="5">
        <f>740877.03/1000</f>
        <v>740.87702999999999</v>
      </c>
      <c r="E44" s="5">
        <f t="shared" si="0"/>
        <v>77.987055789473686</v>
      </c>
    </row>
    <row r="45" spans="1:5" ht="18" customHeight="1">
      <c r="A45" s="4" t="s">
        <v>59</v>
      </c>
      <c r="B45" s="4" t="s">
        <v>60</v>
      </c>
      <c r="C45" s="5">
        <f>2800000/1000</f>
        <v>2800</v>
      </c>
      <c r="D45" s="5">
        <f>2724245.76/1000</f>
        <v>2724.2457599999998</v>
      </c>
      <c r="E45" s="5">
        <f t="shared" si="0"/>
        <v>97.294491428571419</v>
      </c>
    </row>
    <row r="46" spans="1:5" ht="18" customHeight="1">
      <c r="A46" s="4" t="s">
        <v>61</v>
      </c>
      <c r="B46" s="4" t="s">
        <v>62</v>
      </c>
      <c r="C46" s="5">
        <f>1083000/1000</f>
        <v>1083</v>
      </c>
      <c r="D46" s="5">
        <f>210969.79/1000</f>
        <v>210.96979000000002</v>
      </c>
      <c r="E46" s="5">
        <f t="shared" si="0"/>
        <v>19.480128347183751</v>
      </c>
    </row>
    <row r="47" spans="1:5" ht="18" customHeight="1">
      <c r="A47" s="4" t="s">
        <v>63</v>
      </c>
      <c r="B47" s="4" t="s">
        <v>64</v>
      </c>
      <c r="C47" s="5">
        <f>884500/1000</f>
        <v>884.5</v>
      </c>
      <c r="D47" s="5">
        <f>138859.7/1000</f>
        <v>138.8597</v>
      </c>
      <c r="E47" s="5">
        <f t="shared" si="0"/>
        <v>15.699231204070097</v>
      </c>
    </row>
    <row r="48" spans="1:5" ht="18" customHeight="1">
      <c r="A48" s="4" t="s">
        <v>65</v>
      </c>
      <c r="B48" s="4" t="s">
        <v>66</v>
      </c>
      <c r="C48" s="5">
        <f>4000/1000</f>
        <v>4</v>
      </c>
      <c r="D48" s="5">
        <v>0</v>
      </c>
      <c r="E48" s="5">
        <f t="shared" si="0"/>
        <v>0</v>
      </c>
    </row>
    <row r="49" spans="1:5" ht="33" customHeight="1">
      <c r="A49" s="4" t="s">
        <v>67</v>
      </c>
      <c r="B49" s="4" t="s">
        <v>68</v>
      </c>
      <c r="C49" s="5">
        <f>45809/1000</f>
        <v>45.808999999999997</v>
      </c>
      <c r="D49" s="5">
        <f>45809/1000</f>
        <v>45.808999999999997</v>
      </c>
      <c r="E49" s="5">
        <f t="shared" si="0"/>
        <v>100</v>
      </c>
    </row>
    <row r="50" spans="1:5" ht="35.25" customHeight="1">
      <c r="A50" s="4" t="s">
        <v>69</v>
      </c>
      <c r="B50" s="4" t="s">
        <v>70</v>
      </c>
      <c r="C50" s="5">
        <f>26191/1000</f>
        <v>26.190999999999999</v>
      </c>
      <c r="D50" s="5">
        <f>6748.79/1000</f>
        <v>6.7487899999999996</v>
      </c>
      <c r="E50" s="5">
        <f t="shared" si="0"/>
        <v>25.767591920888854</v>
      </c>
    </row>
    <row r="51" spans="1:5" ht="16.5" customHeight="1">
      <c r="A51" s="4" t="s">
        <v>71</v>
      </c>
      <c r="B51" s="4" t="s">
        <v>72</v>
      </c>
      <c r="C51" s="5">
        <f>100000/1000</f>
        <v>100</v>
      </c>
      <c r="D51" s="5">
        <f>81648.46/1000</f>
        <v>81.64846</v>
      </c>
      <c r="E51" s="5">
        <f t="shared" si="0"/>
        <v>81.64846</v>
      </c>
    </row>
    <row r="52" spans="1:5" ht="15.75">
      <c r="A52" s="21" t="s">
        <v>73</v>
      </c>
      <c r="B52" s="21"/>
      <c r="C52" s="1">
        <f>SUM(C7:C51)</f>
        <v>54759.611780000007</v>
      </c>
      <c r="D52" s="1">
        <f>SUM(D7:D51)</f>
        <v>45516.373960000012</v>
      </c>
      <c r="E52" s="1">
        <f t="shared" si="0"/>
        <v>83.120337198270775</v>
      </c>
    </row>
    <row r="53" spans="1:5" ht="15.75">
      <c r="A53" s="8"/>
      <c r="B53" s="20" t="s">
        <v>99</v>
      </c>
      <c r="C53" s="20"/>
      <c r="D53" s="20"/>
      <c r="E53" s="8"/>
    </row>
    <row r="54" spans="1:5" ht="15.75">
      <c r="A54" s="6" t="s">
        <v>3</v>
      </c>
      <c r="B54" s="6" t="s">
        <v>74</v>
      </c>
      <c r="C54" s="5">
        <f>2019700/1000</f>
        <v>2019.7</v>
      </c>
      <c r="D54" s="5">
        <f>2018700/1000</f>
        <v>2018.7</v>
      </c>
      <c r="E54" s="5">
        <f>D54/C54*100</f>
        <v>99.950487696192496</v>
      </c>
    </row>
    <row r="55" spans="1:5" ht="15.75">
      <c r="A55" s="6" t="s">
        <v>6</v>
      </c>
      <c r="B55" s="6" t="s">
        <v>7</v>
      </c>
      <c r="C55" s="5">
        <f>454400/1000</f>
        <v>454.4</v>
      </c>
      <c r="D55" s="5">
        <f>229000/1000</f>
        <v>229</v>
      </c>
      <c r="E55" s="5">
        <f t="shared" ref="E55:E65" si="1">D55/C55*100</f>
        <v>50.396126760563384</v>
      </c>
    </row>
    <row r="56" spans="1:5" ht="16.5" customHeight="1">
      <c r="A56" s="6" t="s">
        <v>12</v>
      </c>
      <c r="B56" s="6" t="s">
        <v>13</v>
      </c>
      <c r="C56" s="5">
        <f>59000/1000</f>
        <v>59</v>
      </c>
      <c r="D56" s="5">
        <v>0</v>
      </c>
      <c r="E56" s="5">
        <f t="shared" si="1"/>
        <v>0</v>
      </c>
    </row>
    <row r="57" spans="1:5" ht="31.5">
      <c r="A57" s="6" t="s">
        <v>21</v>
      </c>
      <c r="B57" s="6" t="s">
        <v>22</v>
      </c>
      <c r="C57" s="5">
        <f>1680900/1000</f>
        <v>1680.9</v>
      </c>
      <c r="D57" s="5">
        <f>631863.05/1000</f>
        <v>631.86305000000004</v>
      </c>
      <c r="E57" s="5">
        <f t="shared" si="1"/>
        <v>37.590757927300849</v>
      </c>
    </row>
    <row r="58" spans="1:5" ht="15.75">
      <c r="A58" s="6" t="s">
        <v>31</v>
      </c>
      <c r="B58" s="6" t="s">
        <v>86</v>
      </c>
      <c r="C58" s="5">
        <f>36063/1000</f>
        <v>36.063000000000002</v>
      </c>
      <c r="D58" s="5">
        <f>36062.16/1000</f>
        <v>36.062160000000006</v>
      </c>
      <c r="E58" s="5">
        <f t="shared" si="1"/>
        <v>99.99767074286666</v>
      </c>
    </row>
    <row r="59" spans="1:5" ht="15.75">
      <c r="A59" s="6" t="s">
        <v>43</v>
      </c>
      <c r="B59" s="6" t="s">
        <v>44</v>
      </c>
      <c r="C59" s="5">
        <f>13600/1000</f>
        <v>13.6</v>
      </c>
      <c r="D59" s="5">
        <f>13092.2/1000</f>
        <v>13.0922</v>
      </c>
      <c r="E59" s="5">
        <f t="shared" si="1"/>
        <v>96.266176470588235</v>
      </c>
    </row>
    <row r="60" spans="1:5" ht="15.75">
      <c r="A60" s="6" t="s">
        <v>51</v>
      </c>
      <c r="B60" s="6" t="s">
        <v>92</v>
      </c>
      <c r="C60" s="5">
        <f>47560/1000</f>
        <v>47.56</v>
      </c>
      <c r="D60" s="5">
        <f>47560/1000</f>
        <v>47.56</v>
      </c>
      <c r="E60" s="5">
        <f t="shared" si="1"/>
        <v>100</v>
      </c>
    </row>
    <row r="61" spans="1:5" ht="31.5">
      <c r="A61" s="6" t="s">
        <v>54</v>
      </c>
      <c r="B61" s="6" t="s">
        <v>55</v>
      </c>
      <c r="C61" s="5">
        <f>257687/1000</f>
        <v>257.68700000000001</v>
      </c>
      <c r="D61" s="5">
        <f>159452.12/1000</f>
        <v>159.45212000000001</v>
      </c>
      <c r="E61" s="5">
        <f t="shared" si="1"/>
        <v>61.878216596103016</v>
      </c>
    </row>
    <row r="62" spans="1:5" ht="17.25" customHeight="1">
      <c r="A62" s="6" t="s">
        <v>59</v>
      </c>
      <c r="B62" s="6" t="s">
        <v>60</v>
      </c>
      <c r="C62" s="5">
        <f>89000/1000</f>
        <v>89</v>
      </c>
      <c r="D62" s="5">
        <v>0</v>
      </c>
      <c r="E62" s="5">
        <f t="shared" si="1"/>
        <v>0</v>
      </c>
    </row>
    <row r="63" spans="1:5" ht="31.5" customHeight="1">
      <c r="A63" s="6" t="s">
        <v>97</v>
      </c>
      <c r="B63" s="6" t="s">
        <v>98</v>
      </c>
      <c r="C63" s="5">
        <f>342214/1000</f>
        <v>342.214</v>
      </c>
      <c r="D63" s="5">
        <v>0</v>
      </c>
      <c r="E63" s="5">
        <f t="shared" si="1"/>
        <v>0</v>
      </c>
    </row>
    <row r="64" spans="1:5" ht="16.5" customHeight="1">
      <c r="A64" s="6" t="s">
        <v>63</v>
      </c>
      <c r="B64" s="6" t="s">
        <v>64</v>
      </c>
      <c r="C64" s="5">
        <f>165000/1000</f>
        <v>165</v>
      </c>
      <c r="D64" s="5">
        <v>0</v>
      </c>
      <c r="E64" s="5">
        <f t="shared" si="1"/>
        <v>0</v>
      </c>
    </row>
    <row r="65" spans="1:5" ht="15.75">
      <c r="A65" s="19" t="s">
        <v>73</v>
      </c>
      <c r="B65" s="19"/>
      <c r="C65" s="1">
        <f>C64+C63+C62+C61+C60+C59+C58+C57+C56+C55+C54</f>
        <v>5165.1240000000007</v>
      </c>
      <c r="D65" s="1">
        <f t="shared" ref="D65" si="2">D64+D63+D62+D61+D60+D59+D58+D57+D56+D55+D54</f>
        <v>3135.7295300000001</v>
      </c>
      <c r="E65" s="1">
        <f t="shared" si="1"/>
        <v>60.709666021570818</v>
      </c>
    </row>
    <row r="66" spans="1:5" ht="3" customHeight="1">
      <c r="A66" s="8"/>
      <c r="B66" s="8"/>
      <c r="C66" s="8"/>
      <c r="D66" s="8"/>
      <c r="E66" s="8"/>
    </row>
    <row r="67" spans="1:5" ht="18.75">
      <c r="A67" s="8"/>
      <c r="B67" s="9" t="s">
        <v>103</v>
      </c>
      <c r="C67" s="10">
        <f>C65+C52</f>
        <v>59924.73578000001</v>
      </c>
      <c r="D67" s="10">
        <f>D65+D52</f>
        <v>48652.103490000009</v>
      </c>
      <c r="E67" s="10">
        <f>D67/C67*100</f>
        <v>81.188682531058802</v>
      </c>
    </row>
    <row r="69" spans="1:5" s="11" customFormat="1" ht="15.75">
      <c r="B69" s="12" t="s">
        <v>104</v>
      </c>
      <c r="C69" s="17" t="s">
        <v>105</v>
      </c>
      <c r="D69" s="18"/>
      <c r="E69" s="18"/>
    </row>
  </sheetData>
  <mergeCells count="13">
    <mergeCell ref="C69:E69"/>
    <mergeCell ref="A65:B65"/>
    <mergeCell ref="B53:D53"/>
    <mergeCell ref="C4:C5"/>
    <mergeCell ref="D4:D5"/>
    <mergeCell ref="A52:B52"/>
    <mergeCell ref="B6:D6"/>
    <mergeCell ref="A1:E1"/>
    <mergeCell ref="A2:E2"/>
    <mergeCell ref="A3:B3"/>
    <mergeCell ref="A4:A5"/>
    <mergeCell ref="B4:B5"/>
    <mergeCell ref="E4:E5"/>
  </mergeCells>
  <pageMargins left="0.9055118110236221" right="0.6" top="0.57999999999999996" bottom="0.45" header="0.31496062992125984" footer="0.31496062992125984"/>
  <pageSetup paperSize="9" scale="86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2021-05-28T08:51:53Z</cp:lastPrinted>
  <dcterms:created xsi:type="dcterms:W3CDTF">2021-04-28T07:34:51Z</dcterms:created>
  <dcterms:modified xsi:type="dcterms:W3CDTF">2021-05-28T11:10:06Z</dcterms:modified>
</cp:coreProperties>
</file>