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02 сесія чергова VIII\"/>
    </mc:Choice>
  </mc:AlternateContent>
  <xr:revisionPtr revIDLastSave="0" documentId="8_{C892D354-598B-4EF6-9C43-7155E07D096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(2)'!$A$1:$J$117</definedName>
  </definedNames>
  <calcPr calcId="191029"/>
</workbook>
</file>

<file path=xl/calcChain.xml><?xml version="1.0" encoding="utf-8"?>
<calcChain xmlns="http://schemas.openxmlformats.org/spreadsheetml/2006/main">
  <c r="H39" i="11" l="1"/>
  <c r="H41" i="11"/>
  <c r="I107" i="11"/>
  <c r="H64" i="11"/>
  <c r="G14" i="11"/>
  <c r="H21" i="11"/>
  <c r="I15" i="11"/>
  <c r="I16" i="11" s="1"/>
  <c r="H15" i="11"/>
  <c r="H16" i="11" s="1"/>
  <c r="H104" i="11"/>
  <c r="H80" i="11"/>
  <c r="H85" i="11"/>
  <c r="H88" i="11"/>
  <c r="I92" i="11" l="1"/>
  <c r="I31" i="11"/>
  <c r="H59" i="11"/>
  <c r="H68" i="11"/>
  <c r="H65" i="11"/>
  <c r="H28" i="11"/>
  <c r="I30" i="11"/>
  <c r="H91" i="11" l="1"/>
  <c r="I96" i="11"/>
  <c r="H96" i="11"/>
  <c r="I22" i="11"/>
  <c r="I66" i="11"/>
  <c r="H66" i="11"/>
  <c r="I91" i="11" l="1"/>
  <c r="I94" i="11" l="1"/>
  <c r="H19" i="11"/>
  <c r="G87" i="11"/>
  <c r="H69" i="11"/>
  <c r="H70" i="11" l="1"/>
  <c r="H95" i="11"/>
  <c r="I101" i="11"/>
  <c r="G101" i="11" s="1"/>
  <c r="I102" i="11"/>
  <c r="J102" i="11" s="1"/>
  <c r="I100" i="11"/>
  <c r="H56" i="11"/>
  <c r="J51" i="11"/>
  <c r="G51" i="11"/>
  <c r="H89" i="11"/>
  <c r="H27" i="11"/>
  <c r="H103" i="11"/>
  <c r="I95" i="11"/>
  <c r="I69" i="11"/>
  <c r="H18" i="11"/>
  <c r="J92" i="11"/>
  <c r="J101" i="11" l="1"/>
  <c r="J107" i="11"/>
  <c r="I55" i="11"/>
  <c r="J55" i="11"/>
  <c r="I52" i="11"/>
  <c r="J52" i="11"/>
  <c r="J66" i="11"/>
  <c r="J105" i="11"/>
  <c r="G105" i="11"/>
  <c r="J113" i="11" l="1"/>
  <c r="I113" i="11"/>
  <c r="H47" i="11"/>
  <c r="H37" i="11"/>
  <c r="I23" i="11"/>
  <c r="H107" i="11"/>
  <c r="J69" i="11"/>
  <c r="H111" i="11" l="1"/>
  <c r="H110" i="11"/>
  <c r="H109" i="11"/>
  <c r="H108" i="11"/>
  <c r="H106" i="11"/>
  <c r="G94" i="11"/>
  <c r="I99" i="11"/>
  <c r="J99" i="11" s="1"/>
  <c r="J31" i="11"/>
  <c r="G68" i="11"/>
  <c r="H36" i="11"/>
  <c r="H29" i="11" s="1"/>
  <c r="J32" i="11"/>
  <c r="J33" i="11"/>
  <c r="J34" i="11"/>
  <c r="J35" i="11"/>
  <c r="G34" i="11"/>
  <c r="G35" i="11"/>
  <c r="J90" i="11"/>
  <c r="G90" i="11"/>
  <c r="I36" i="11"/>
  <c r="I29" i="11" s="1"/>
  <c r="J96" i="11"/>
  <c r="J23" i="11"/>
  <c r="H52" i="11"/>
  <c r="G53" i="11"/>
  <c r="H58" i="11"/>
  <c r="H22" i="11"/>
  <c r="G66" i="11"/>
  <c r="J95" i="11"/>
  <c r="L115" i="11"/>
  <c r="H67" i="11"/>
  <c r="G67" i="11" s="1"/>
  <c r="G37" i="11"/>
  <c r="I98" i="11"/>
  <c r="J98" i="11" s="1"/>
  <c r="J93" i="11"/>
  <c r="G93" i="11"/>
  <c r="G39" i="11"/>
  <c r="H46" i="11"/>
  <c r="H44" i="11" s="1"/>
  <c r="H50" i="11"/>
  <c r="H43" i="11"/>
  <c r="H26" i="11"/>
  <c r="I89" i="11"/>
  <c r="G89" i="11" s="1"/>
  <c r="J89" i="11"/>
  <c r="J22" i="11"/>
  <c r="G106" i="11"/>
  <c r="G95" i="11"/>
  <c r="I72" i="11"/>
  <c r="J72" i="11"/>
  <c r="G98" i="11"/>
  <c r="J15" i="11"/>
  <c r="J16" i="11" s="1"/>
  <c r="H86" i="11"/>
  <c r="J97" i="11"/>
  <c r="G97" i="11"/>
  <c r="H113" i="11" l="1"/>
  <c r="J94" i="11"/>
  <c r="I103" i="11"/>
  <c r="H38" i="11"/>
  <c r="G99" i="11"/>
  <c r="G31" i="11"/>
  <c r="H72" i="11"/>
  <c r="H55" i="11"/>
  <c r="G22" i="11"/>
  <c r="G100" i="11"/>
  <c r="H11" i="11"/>
  <c r="G26" i="11"/>
  <c r="G48" i="11"/>
  <c r="I86" i="11"/>
  <c r="J86" i="11"/>
  <c r="G107" i="11"/>
  <c r="G108" i="11"/>
  <c r="G109" i="11"/>
  <c r="G110" i="11"/>
  <c r="G111" i="11"/>
  <c r="G112" i="11"/>
  <c r="G104" i="11"/>
  <c r="J30" i="11"/>
  <c r="G102" i="11"/>
  <c r="G88" i="11"/>
  <c r="G49" i="11"/>
  <c r="I43" i="11"/>
  <c r="J43" i="11"/>
  <c r="G43" i="11"/>
  <c r="I11" i="11"/>
  <c r="J11" i="11"/>
  <c r="G24" i="11"/>
  <c r="G19" i="11"/>
  <c r="G18" i="11"/>
  <c r="G17" i="11"/>
  <c r="G78" i="11"/>
  <c r="G79" i="11"/>
  <c r="G81" i="11"/>
  <c r="G82" i="11"/>
  <c r="G83" i="11"/>
  <c r="J100" i="11"/>
  <c r="J91" i="11"/>
  <c r="G40" i="11"/>
  <c r="G12" i="11"/>
  <c r="G13" i="11"/>
  <c r="G15" i="11"/>
  <c r="G20" i="11"/>
  <c r="G21" i="11"/>
  <c r="G23" i="11"/>
  <c r="G27" i="11"/>
  <c r="G28" i="11"/>
  <c r="G33" i="11"/>
  <c r="G41" i="11"/>
  <c r="G42" i="11"/>
  <c r="G45" i="11"/>
  <c r="G46" i="11"/>
  <c r="G47" i="11"/>
  <c r="G50" i="11"/>
  <c r="G54" i="11"/>
  <c r="G56" i="11"/>
  <c r="G57" i="11"/>
  <c r="G58" i="11"/>
  <c r="G59" i="11"/>
  <c r="G60" i="11"/>
  <c r="G64" i="11"/>
  <c r="G65" i="11"/>
  <c r="G69" i="11"/>
  <c r="G71" i="11"/>
  <c r="G73" i="11"/>
  <c r="G74" i="11"/>
  <c r="G75" i="11"/>
  <c r="G76" i="11"/>
  <c r="G77" i="11"/>
  <c r="G80" i="11"/>
  <c r="G84" i="11"/>
  <c r="G85" i="11"/>
  <c r="G91" i="11"/>
  <c r="G96" i="11"/>
  <c r="I44" i="11"/>
  <c r="J44" i="11"/>
  <c r="H61" i="11" l="1"/>
  <c r="J103" i="11"/>
  <c r="J38" i="11"/>
  <c r="I38" i="11"/>
  <c r="J36" i="11"/>
  <c r="J29" i="11" s="1"/>
  <c r="G113" i="11"/>
  <c r="I61" i="11"/>
  <c r="G70" i="11"/>
  <c r="G72" i="11"/>
  <c r="G30" i="11"/>
  <c r="G92" i="11"/>
  <c r="G44" i="11"/>
  <c r="G52" i="11"/>
  <c r="G86" i="11"/>
  <c r="I114" i="11" l="1"/>
  <c r="I121" i="11" s="1"/>
  <c r="J61" i="11"/>
  <c r="G103" i="11"/>
  <c r="G11" i="11"/>
  <c r="G16" i="11"/>
  <c r="G29" i="11"/>
  <c r="G36" i="11"/>
  <c r="G55" i="11"/>
  <c r="G38" i="11"/>
  <c r="J114" i="11" l="1"/>
  <c r="J121" i="11" s="1"/>
  <c r="G61" i="11"/>
  <c r="H114" i="11"/>
  <c r="G114" i="11" l="1"/>
  <c r="K114" i="11"/>
  <c r="L114" i="11"/>
</calcChain>
</file>

<file path=xl/sharedStrings.xml><?xml version="1.0" encoding="utf-8"?>
<sst xmlns="http://schemas.openxmlformats.org/spreadsheetml/2006/main" count="393" uniqueCount="266">
  <si>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</si>
  <si>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</si>
  <si>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</si>
  <si>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</si>
  <si>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</si>
  <si>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</si>
  <si>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</si>
  <si>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</si>
  <si>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</si>
  <si>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</si>
  <si>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</si>
  <si>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</si>
  <si>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</si>
  <si>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</si>
  <si>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</si>
  <si>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</si>
  <si>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</si>
  <si>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</si>
  <si>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</si>
  <si>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</si>
  <si>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</si>
  <si>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</si>
  <si>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</si>
  <si>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</si>
  <si>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</si>
  <si>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</si>
  <si>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</si>
  <si>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</si>
  <si>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</si>
  <si>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</si>
  <si>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</si>
  <si>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</si>
  <si>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</si>
  <si>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</si>
  <si>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</si>
  <si>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</si>
  <si>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</si>
  <si>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</si>
  <si>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</si>
  <si>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</si>
  <si>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</si>
  <si>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</si>
  <si>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</si>
  <si>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</si>
  <si>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</si>
  <si>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</si>
  <si>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</si>
  <si>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</si>
  <si>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</si>
  <si>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</si>
  <si>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</si>
  <si>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</si>
  <si>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</si>
  <si>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</si>
  <si>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</si>
  <si>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</si>
  <si>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</si>
  <si>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</si>
  <si>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</si>
  <si>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</si>
  <si>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</si>
  <si>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</si>
  <si>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</si>
  <si>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</si>
  <si>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</si>
  <si>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</si>
  <si>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</si>
  <si>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</si>
  <si>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</si>
  <si>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</si>
  <si>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</si>
  <si>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</si>
  <si>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</si>
  <si>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</si>
  <si>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</si>
  <si>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</si>
  <si>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</si>
  <si>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</si>
  <si>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</si>
  <si>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</si>
  <si>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</si>
  <si>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</si>
  <si>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</si>
  <si>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</si>
  <si>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</si>
  <si>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</si>
  <si>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</si>
  <si>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</si>
  <si>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</si>
  <si>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</si>
  <si>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</si>
  <si>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</si>
  <si>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</si>
  <si>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</si>
  <si>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</si>
  <si>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</si>
  <si>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</si>
  <si>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</si>
  <si>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</si>
  <si>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</si>
  <si>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</si>
  <si>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</si>
  <si>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</si>
  <si>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</si>
  <si>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</si>
  <si>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</si>
  <si>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</si>
  <si>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</si>
  <si>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</si>
  <si>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</si>
  <si>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</si>
  <si>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</si>
  <si>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</si>
  <si>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</si>
  <si>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</si>
  <si>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</si>
  <si>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</si>
  <si>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</si>
  <si>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</si>
  <si>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</si>
  <si>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</si>
  <si>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</si>
  <si>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</si>
  <si>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</si>
  <si>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</si>
  <si>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</si>
  <si>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</si>
  <si>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</si>
  <si>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</si>
  <si>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</si>
  <si>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</si>
  <si>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</si>
  <si>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</si>
  <si>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</si>
  <si>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</si>
  <si>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</si>
  <si>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</si>
  <si>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</si>
  <si>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</si>
  <si>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</si>
  <si>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</si>
  <si>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</si>
  <si>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</si>
  <si>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</si>
  <si>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</si>
  <si>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</si>
  <si>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</si>
  <si>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</si>
  <si>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</si>
  <si>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</si>
  <si>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</si>
  <si>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</si>
  <si>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</si>
  <si>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</si>
  <si>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</si>
  <si>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</si>
  <si>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</si>
  <si>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</si>
  <si>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</si>
  <si>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</si>
  <si>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</si>
  <si>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</si>
  <si>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</si>
  <si>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</si>
  <si>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</si>
  <si>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</si>
  <si>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</si>
  <si>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</si>
  <si>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</si>
  <si>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</si>
  <si>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</si>
  <si>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</si>
  <si>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</si>
  <si>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</si>
  <si>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</si>
  <si>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</si>
  <si>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</si>
  <si>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</si>
  <si>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</si>
  <si>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</si>
  <si>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</si>
  <si>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</si>
  <si>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</si>
  <si>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</si>
  <si>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</si>
  <si>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</si>
  <si>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</si>
  <si>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</si>
  <si>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</si>
  <si>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</si>
  <si>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</si>
  <si>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</si>
  <si>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</si>
  <si>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</si>
  <si>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</si>
  <si>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</si>
  <si>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</si>
  <si>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</si>
  <si>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</si>
  <si>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</si>
  <si>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</si>
  <si>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</si>
  <si>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</si>
  <si>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</si>
  <si>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</si>
  <si>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</si>
  <si>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</si>
  <si>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</si>
  <si>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</si>
  <si>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</si>
  <si>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</si>
  <si>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</si>
  <si>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</si>
  <si>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</si>
  <si>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</si>
  <si>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</si>
  <si>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</si>
  <si>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</si>
  <si>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</si>
  <si>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</si>
  <si>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</si>
  <si>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</si>
  <si>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</si>
  <si>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</si>
  <si>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</si>
  <si>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</si>
  <si>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</si>
  <si>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</si>
  <si>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</si>
  <si>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</si>
  <si>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</si>
  <si>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</si>
  <si>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</si>
  <si>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</si>
  <si>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</si>
  <si>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</si>
  <si>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</si>
  <si>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</si>
  <si>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</si>
  <si>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</si>
  <si>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</si>
  <si>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</si>
  <si>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</si>
  <si>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1029-88-VII від 19.05.2020</t>
  </si>
  <si>
    <t>№ 1001-86-VII від 05.03.2019</t>
  </si>
  <si>
    <t>№ 1067-89-VII від 25.06.2020</t>
  </si>
  <si>
    <t>Реалізація Національної програми інформатизації 2010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</si>
  <si>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</si>
  <si>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</si>
  <si>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</si>
  <si>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</si>
  <si>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3719750</t>
  </si>
  <si>
    <t>9750</t>
  </si>
  <si>
    <t>Субвенції з місцевого бюджету на співфінансування інвестиційних проектів</t>
  </si>
  <si>
    <t>№ 1093-92-VII від 06.08.2020</t>
  </si>
  <si>
    <t>№ 1094-92-VII від 06.08.2020</t>
  </si>
  <si>
    <t>Д - 6.1</t>
  </si>
  <si>
    <t>Д 3 + Д 6.1</t>
  </si>
  <si>
    <t>Д  3 + 6</t>
  </si>
  <si>
    <t>Заходи з енергозбереення</t>
  </si>
  <si>
    <t>№ 1099-93-VII від 24.09.2020</t>
  </si>
  <si>
    <t>№ 1100-93-VII від 24.09.2020</t>
  </si>
  <si>
    <t>№ 1113-95-VII від 08.10.2020</t>
  </si>
  <si>
    <t>Програма підтримки і розвитку навчально-матеріальної бази Державного навчального закладу "Березанський професійний аграрний ліцей" на 2020 рік</t>
  </si>
  <si>
    <t>№ 1117-96-VII від 13.10.2020</t>
  </si>
  <si>
    <t>від 19.11.2020 №21-02-VIII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</si>
</sst>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  <numFmt numFmtId="168" formatCode="0.00_ ;\-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CC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38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0" fillId="0" borderId="0" xfId="0" applyAlignment="1"/>
    <xf numFmtId="168" fontId="20" fillId="0" borderId="0" xfId="24" applyNumberFormat="1" applyFont="1" applyFill="1" applyBorder="1" applyAlignment="1"/>
    <xf numFmtId="0" fontId="19" fillId="0" borderId="0" xfId="0" applyFont="1" applyFill="1" applyAlignment="1">
      <alignment horizontal="left"/>
    </xf>
    <xf numFmtId="166" fontId="19" fillId="0" borderId="0" xfId="0" applyNumberFormat="1" applyFont="1" applyFill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left"/>
    </xf>
    <xf numFmtId="166" fontId="37" fillId="0" borderId="10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166" fontId="20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wrapText="1"/>
    </xf>
    <xf numFmtId="166" fontId="38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49" fontId="26" fillId="0" borderId="1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20" fillId="0" borderId="12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9" fillId="0" borderId="12" xfId="0" applyFont="1" applyFill="1" applyBorder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0" fontId="19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 xr:uid="{00000000-0005-0000-0000-00000D000000}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STUPNIK\Documents\Users\admin\AppData\Roaming\Microsoft\Excel\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L130"/>
  <sheetViews>
    <sheetView tabSelected="1" view="pageBreakPreview" topLeftCell="B3" zoomScaleNormal="100" zoomScaleSheetLayoutView="100" workbookViewId="0">
      <selection activeCell="G5" sqref="G5"/>
    </sheetView>
  </sheetViews>
  <sheetFormatPr defaultRowHeight="15" x14ac:dyDescent="0.25"/>
  <cols>
    <col min="1" max="1" width="11.5703125" style="20" customWidth="1"/>
    <col min="2" max="2" width="10.42578125" style="20" customWidth="1"/>
    <col min="3" max="3" width="9.42578125" style="20" customWidth="1"/>
    <col min="4" max="4" width="55.42578125" style="46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 x14ac:dyDescent="0.25">
      <c r="G1" s="133" t="s">
        <v>8</v>
      </c>
      <c r="H1" s="134"/>
      <c r="I1" s="134"/>
      <c r="J1" s="134"/>
    </row>
    <row r="2" spans="1:11" ht="17.25" customHeight="1" x14ac:dyDescent="0.25">
      <c r="A2" s="142">
        <v>10514000000</v>
      </c>
      <c r="B2" s="143"/>
      <c r="G2" s="135" t="s">
        <v>89</v>
      </c>
      <c r="H2" s="136"/>
      <c r="I2" s="136"/>
      <c r="J2" s="136"/>
      <c r="K2" s="48"/>
    </row>
    <row r="3" spans="1:11" ht="32.25" customHeight="1" x14ac:dyDescent="0.25">
      <c r="A3" s="144" t="s">
        <v>205</v>
      </c>
      <c r="B3" s="145"/>
      <c r="G3" s="137" t="s">
        <v>206</v>
      </c>
      <c r="H3" s="138"/>
      <c r="I3" s="138"/>
      <c r="J3" s="138"/>
      <c r="K3" s="49"/>
    </row>
    <row r="4" spans="1:11" ht="18.75" customHeight="1" x14ac:dyDescent="0.25">
      <c r="G4" s="139" t="s">
        <v>265</v>
      </c>
      <c r="H4" s="139"/>
      <c r="I4" s="139"/>
      <c r="J4" s="139"/>
      <c r="K4" s="48"/>
    </row>
    <row r="5" spans="1:11" x14ac:dyDescent="0.25">
      <c r="H5" s="50"/>
    </row>
    <row r="6" spans="1:11" ht="20.25" x14ac:dyDescent="0.3">
      <c r="C6" s="51" t="s">
        <v>146</v>
      </c>
    </row>
    <row r="7" spans="1:11" x14ac:dyDescent="0.25">
      <c r="A7" s="21"/>
      <c r="J7" s="1" t="s">
        <v>0</v>
      </c>
    </row>
    <row r="8" spans="1:11" ht="62.25" customHeight="1" x14ac:dyDescent="0.2">
      <c r="A8" s="146" t="s">
        <v>195</v>
      </c>
      <c r="B8" s="146" t="s">
        <v>196</v>
      </c>
      <c r="C8" s="146" t="s">
        <v>143</v>
      </c>
      <c r="D8" s="223" t="s">
        <v>197</v>
      </c>
      <c r="E8" s="131" t="s">
        <v>202</v>
      </c>
      <c r="F8" s="131" t="s">
        <v>203</v>
      </c>
      <c r="G8" s="131" t="s">
        <v>1</v>
      </c>
      <c r="H8" s="131" t="s">
        <v>2</v>
      </c>
      <c r="I8" s="131" t="s">
        <v>3</v>
      </c>
      <c r="J8" s="131"/>
    </row>
    <row r="9" spans="1:11" ht="66" customHeight="1" x14ac:dyDescent="0.2">
      <c r="A9" s="147"/>
      <c r="B9" s="147"/>
      <c r="C9" s="147"/>
      <c r="D9" s="224"/>
      <c r="E9" s="131"/>
      <c r="F9" s="131"/>
      <c r="G9" s="131"/>
      <c r="H9" s="131"/>
      <c r="I9" s="42" t="s">
        <v>4</v>
      </c>
      <c r="J9" s="42" t="s">
        <v>5</v>
      </c>
    </row>
    <row r="10" spans="1:11" ht="15.75" x14ac:dyDescent="0.2">
      <c r="A10" s="22">
        <v>1</v>
      </c>
      <c r="B10" s="22">
        <v>2</v>
      </c>
      <c r="C10" s="22">
        <v>3</v>
      </c>
      <c r="D10" s="52">
        <v>4</v>
      </c>
      <c r="E10" s="53">
        <v>5</v>
      </c>
      <c r="F10" s="53">
        <v>6</v>
      </c>
      <c r="G10" s="25">
        <v>7</v>
      </c>
      <c r="H10" s="25">
        <v>8</v>
      </c>
      <c r="I10" s="25">
        <v>9</v>
      </c>
      <c r="J10" s="25">
        <v>10</v>
      </c>
    </row>
    <row r="11" spans="1:11" s="91" customFormat="1" ht="15.75" customHeight="1" x14ac:dyDescent="0.2">
      <c r="A11" s="132" t="s">
        <v>9</v>
      </c>
      <c r="B11" s="132"/>
      <c r="C11" s="132"/>
      <c r="D11" s="140" t="s">
        <v>10</v>
      </c>
      <c r="E11" s="140"/>
      <c r="F11" s="141"/>
      <c r="G11" s="90">
        <f t="shared" ref="G11:G71" si="0">H11+I11</f>
        <v>6797160</v>
      </c>
      <c r="H11" s="90">
        <f>H16+H17+H18+H19+H20+H21+H22+H23+H24+H25+H26+H27+H28</f>
        <v>5078366</v>
      </c>
      <c r="I11" s="90">
        <f>I16+I17+I18+I19+I20+I21+I22+I23+I25+I26+I27+I28</f>
        <v>1718794</v>
      </c>
      <c r="J11" s="90">
        <f>J16+J17+J18+J19+J20+J21+J22+J23+J25+J26+J27+J28</f>
        <v>1718794</v>
      </c>
    </row>
    <row r="12" spans="1:11" ht="60" x14ac:dyDescent="0.2">
      <c r="A12" s="225" t="s">
        <v>16</v>
      </c>
      <c r="B12" s="228" t="s">
        <v>17</v>
      </c>
      <c r="C12" s="228" t="s">
        <v>18</v>
      </c>
      <c r="D12" s="231" t="s">
        <v>15</v>
      </c>
      <c r="E12" s="3" t="s">
        <v>144</v>
      </c>
      <c r="F12" s="36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 x14ac:dyDescent="0.25">
      <c r="A13" s="226"/>
      <c r="B13" s="228"/>
      <c r="C13" s="230"/>
      <c r="D13" s="231"/>
      <c r="E13" s="27" t="s">
        <v>225</v>
      </c>
      <c r="F13" s="36" t="s">
        <v>224</v>
      </c>
      <c r="G13" s="2">
        <f t="shared" si="0"/>
        <v>100000</v>
      </c>
      <c r="H13" s="4">
        <v>100000</v>
      </c>
      <c r="I13" s="4"/>
      <c r="J13" s="4"/>
    </row>
    <row r="14" spans="1:11" ht="45" x14ac:dyDescent="0.25">
      <c r="A14" s="226"/>
      <c r="B14" s="228"/>
      <c r="C14" s="230"/>
      <c r="D14" s="231"/>
      <c r="E14" s="129" t="s">
        <v>263</v>
      </c>
      <c r="F14" s="128" t="s">
        <v>264</v>
      </c>
      <c r="G14" s="2">
        <f t="shared" si="0"/>
        <v>170000</v>
      </c>
      <c r="H14" s="4">
        <v>170000</v>
      </c>
      <c r="I14" s="4"/>
      <c r="J14" s="4"/>
    </row>
    <row r="15" spans="1:11" ht="64.5" customHeight="1" x14ac:dyDescent="0.25">
      <c r="A15" s="227"/>
      <c r="B15" s="228"/>
      <c r="C15" s="230"/>
      <c r="D15" s="231"/>
      <c r="E15" s="54" t="s">
        <v>226</v>
      </c>
      <c r="F15" s="36" t="s">
        <v>224</v>
      </c>
      <c r="G15" s="2">
        <f t="shared" si="0"/>
        <v>1894017</v>
      </c>
      <c r="H15" s="4">
        <f>2700000-347552-400000-1205000-90900+198341+169527+300700+72500</f>
        <v>1397616</v>
      </c>
      <c r="I15" s="4">
        <f>197552+24000+62549+75000+97800+39500</f>
        <v>496401</v>
      </c>
      <c r="J15" s="4">
        <f>I15</f>
        <v>496401</v>
      </c>
    </row>
    <row r="16" spans="1:11" s="55" customFormat="1" ht="15.75" x14ac:dyDescent="0.2">
      <c r="A16" s="148" t="s">
        <v>87</v>
      </c>
      <c r="B16" s="232"/>
      <c r="C16" s="232"/>
      <c r="D16" s="233"/>
      <c r="E16" s="5"/>
      <c r="F16" s="33"/>
      <c r="G16" s="2">
        <f t="shared" si="0"/>
        <v>2364017</v>
      </c>
      <c r="H16" s="2">
        <f>H12+H13+H14+H15</f>
        <v>1867616</v>
      </c>
      <c r="I16" s="2">
        <f t="shared" ref="I16:J16" si="1">I12+I13+I14+I15</f>
        <v>496401</v>
      </c>
      <c r="J16" s="2">
        <f t="shared" si="1"/>
        <v>496401</v>
      </c>
    </row>
    <row r="17" spans="1:12" s="55" customFormat="1" ht="24.75" customHeight="1" x14ac:dyDescent="0.2">
      <c r="A17" s="26" t="s">
        <v>117</v>
      </c>
      <c r="B17" s="38" t="s">
        <v>118</v>
      </c>
      <c r="C17" s="38" t="s">
        <v>119</v>
      </c>
      <c r="D17" s="24" t="s">
        <v>120</v>
      </c>
      <c r="E17" s="214" t="s">
        <v>193</v>
      </c>
      <c r="F17" s="195" t="s">
        <v>183</v>
      </c>
      <c r="G17" s="4">
        <f t="shared" si="0"/>
        <v>100000</v>
      </c>
      <c r="H17" s="4">
        <v>100000</v>
      </c>
      <c r="I17" s="4"/>
      <c r="J17" s="4"/>
    </row>
    <row r="18" spans="1:12" s="55" customFormat="1" ht="33.75" customHeight="1" x14ac:dyDescent="0.2">
      <c r="A18" s="6" t="s">
        <v>121</v>
      </c>
      <c r="B18" s="38" t="s">
        <v>122</v>
      </c>
      <c r="C18" s="38" t="s">
        <v>123</v>
      </c>
      <c r="D18" s="35" t="s">
        <v>124</v>
      </c>
      <c r="E18" s="215"/>
      <c r="F18" s="197"/>
      <c r="G18" s="4">
        <f t="shared" si="0"/>
        <v>75000</v>
      </c>
      <c r="H18" s="4">
        <f>50000+25000</f>
        <v>75000</v>
      </c>
      <c r="I18" s="4"/>
      <c r="J18" s="4"/>
    </row>
    <row r="19" spans="1:12" s="55" customFormat="1" ht="30.75" customHeight="1" x14ac:dyDescent="0.25">
      <c r="A19" s="7" t="s">
        <v>149</v>
      </c>
      <c r="B19" s="7" t="s">
        <v>150</v>
      </c>
      <c r="C19" s="7" t="s">
        <v>151</v>
      </c>
      <c r="D19" s="27" t="s">
        <v>152</v>
      </c>
      <c r="E19" s="27" t="s">
        <v>208</v>
      </c>
      <c r="F19" s="127" t="s">
        <v>262</v>
      </c>
      <c r="G19" s="4">
        <f t="shared" si="0"/>
        <v>706700</v>
      </c>
      <c r="H19" s="4">
        <f>93300+129500+30000+290100+18300+145500</f>
        <v>706700</v>
      </c>
      <c r="I19" s="4"/>
      <c r="J19" s="4"/>
    </row>
    <row r="20" spans="1:12" ht="30" customHeight="1" x14ac:dyDescent="0.2">
      <c r="A20" s="22" t="s">
        <v>27</v>
      </c>
      <c r="B20" s="22" t="s">
        <v>28</v>
      </c>
      <c r="C20" s="22" t="s">
        <v>29</v>
      </c>
      <c r="D20" s="24" t="s">
        <v>22</v>
      </c>
      <c r="E20" s="221" t="s">
        <v>11</v>
      </c>
      <c r="F20" s="222" t="s">
        <v>244</v>
      </c>
      <c r="G20" s="2">
        <f t="shared" si="0"/>
        <v>140000</v>
      </c>
      <c r="H20" s="4">
        <v>140000</v>
      </c>
      <c r="I20" s="4"/>
      <c r="J20" s="4"/>
    </row>
    <row r="21" spans="1:12" ht="60" customHeight="1" x14ac:dyDescent="0.25">
      <c r="A21" s="22" t="s">
        <v>30</v>
      </c>
      <c r="B21" s="22" t="s">
        <v>31</v>
      </c>
      <c r="C21" s="22" t="s">
        <v>29</v>
      </c>
      <c r="D21" s="56" t="s">
        <v>23</v>
      </c>
      <c r="E21" s="221"/>
      <c r="F21" s="222"/>
      <c r="G21" s="2">
        <f t="shared" si="0"/>
        <v>389500</v>
      </c>
      <c r="H21" s="4">
        <f>400000-10500</f>
        <v>389500</v>
      </c>
      <c r="I21" s="4"/>
      <c r="J21" s="4"/>
    </row>
    <row r="22" spans="1:12" s="58" customFormat="1" ht="36.75" customHeight="1" x14ac:dyDescent="0.2">
      <c r="A22" s="7" t="s">
        <v>211</v>
      </c>
      <c r="B22" s="38" t="s">
        <v>209</v>
      </c>
      <c r="C22" s="38" t="s">
        <v>34</v>
      </c>
      <c r="D22" s="57" t="s">
        <v>212</v>
      </c>
      <c r="E22" s="35" t="s">
        <v>210</v>
      </c>
      <c r="F22" s="86" t="s">
        <v>231</v>
      </c>
      <c r="G22" s="2">
        <f t="shared" si="0"/>
        <v>1383013</v>
      </c>
      <c r="H22" s="4">
        <f>100000+160420</f>
        <v>260420</v>
      </c>
      <c r="I22" s="4">
        <f>190948+661465+171180+99000</f>
        <v>1122593</v>
      </c>
      <c r="J22" s="4">
        <f>I22</f>
        <v>1122593</v>
      </c>
    </row>
    <row r="23" spans="1:12" ht="45" customHeight="1" x14ac:dyDescent="0.25">
      <c r="A23" s="22" t="s">
        <v>32</v>
      </c>
      <c r="B23" s="22" t="s">
        <v>33</v>
      </c>
      <c r="C23" s="22" t="s">
        <v>34</v>
      </c>
      <c r="D23" s="56" t="s">
        <v>24</v>
      </c>
      <c r="E23" s="35" t="s">
        <v>12</v>
      </c>
      <c r="F23" s="36" t="s">
        <v>20</v>
      </c>
      <c r="G23" s="2">
        <f t="shared" si="0"/>
        <v>981800</v>
      </c>
      <c r="H23" s="118">
        <v>882000</v>
      </c>
      <c r="I23" s="4">
        <f>49800+50000</f>
        <v>99800</v>
      </c>
      <c r="J23" s="4">
        <f>I23</f>
        <v>99800</v>
      </c>
    </row>
    <row r="24" spans="1:12" ht="47.25" customHeight="1" x14ac:dyDescent="0.2">
      <c r="A24" s="228" t="s">
        <v>155</v>
      </c>
      <c r="B24" s="228" t="s">
        <v>36</v>
      </c>
      <c r="C24" s="228" t="s">
        <v>34</v>
      </c>
      <c r="D24" s="231" t="s">
        <v>25</v>
      </c>
      <c r="E24" s="35" t="s">
        <v>156</v>
      </c>
      <c r="F24" s="36" t="s">
        <v>157</v>
      </c>
      <c r="G24" s="2">
        <f t="shared" si="0"/>
        <v>60000</v>
      </c>
      <c r="H24" s="4">
        <v>60000</v>
      </c>
      <c r="I24" s="4"/>
      <c r="J24" s="4"/>
    </row>
    <row r="25" spans="1:12" ht="19.5" hidden="1" customHeight="1" x14ac:dyDescent="0.2">
      <c r="A25" s="235"/>
      <c r="B25" s="235"/>
      <c r="C25" s="235"/>
      <c r="D25" s="234"/>
      <c r="E25" s="35" t="s">
        <v>13</v>
      </c>
      <c r="F25" s="36"/>
      <c r="G25" s="2"/>
      <c r="H25" s="4"/>
      <c r="I25" s="4"/>
      <c r="J25" s="4"/>
    </row>
    <row r="26" spans="1:12" ht="31.5" customHeight="1" x14ac:dyDescent="0.25">
      <c r="A26" s="8" t="s">
        <v>187</v>
      </c>
      <c r="B26" s="7" t="s">
        <v>188</v>
      </c>
      <c r="C26" s="7" t="s">
        <v>189</v>
      </c>
      <c r="D26" s="56" t="s">
        <v>190</v>
      </c>
      <c r="E26" s="119" t="s">
        <v>186</v>
      </c>
      <c r="F26" s="120" t="s">
        <v>217</v>
      </c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 x14ac:dyDescent="0.2">
      <c r="A27" s="22" t="s">
        <v>37</v>
      </c>
      <c r="B27" s="22" t="s">
        <v>38</v>
      </c>
      <c r="C27" s="22" t="s">
        <v>39</v>
      </c>
      <c r="D27" s="35" t="s">
        <v>26</v>
      </c>
      <c r="E27" s="35" t="s">
        <v>14</v>
      </c>
      <c r="F27" s="36" t="s">
        <v>21</v>
      </c>
      <c r="G27" s="2">
        <f t="shared" si="0"/>
        <v>291900</v>
      </c>
      <c r="H27" s="4">
        <f>276900+100000-85000</f>
        <v>291900</v>
      </c>
      <c r="I27" s="4"/>
      <c r="J27" s="4"/>
    </row>
    <row r="28" spans="1:12" ht="90" customHeight="1" x14ac:dyDescent="0.2">
      <c r="A28" s="8" t="s">
        <v>130</v>
      </c>
      <c r="B28" s="7" t="s">
        <v>129</v>
      </c>
      <c r="C28" s="7" t="s">
        <v>131</v>
      </c>
      <c r="D28" s="59" t="s">
        <v>132</v>
      </c>
      <c r="E28" s="9" t="s">
        <v>191</v>
      </c>
      <c r="F28" s="111" t="s">
        <v>255</v>
      </c>
      <c r="G28" s="2">
        <f t="shared" si="0"/>
        <v>272000</v>
      </c>
      <c r="H28" s="4">
        <f>50000+30000+70000+85000+37000</f>
        <v>272000</v>
      </c>
      <c r="I28" s="4"/>
      <c r="J28" s="4"/>
    </row>
    <row r="29" spans="1:12" s="91" customFormat="1" ht="15.75" x14ac:dyDescent="0.2">
      <c r="A29" s="153" t="s">
        <v>41</v>
      </c>
      <c r="B29" s="153"/>
      <c r="C29" s="153"/>
      <c r="D29" s="217" t="s">
        <v>40</v>
      </c>
      <c r="E29" s="217"/>
      <c r="F29" s="218"/>
      <c r="G29" s="90">
        <f t="shared" si="0"/>
        <v>1568193</v>
      </c>
      <c r="H29" s="90">
        <f>H36+H37</f>
        <v>24800</v>
      </c>
      <c r="I29" s="90">
        <f>I36+I37</f>
        <v>1543393</v>
      </c>
      <c r="J29" s="90">
        <f>J36+J37</f>
        <v>1543393</v>
      </c>
    </row>
    <row r="30" spans="1:12" ht="18.75" customHeight="1" x14ac:dyDescent="0.25">
      <c r="A30" s="38" t="s">
        <v>42</v>
      </c>
      <c r="B30" s="38" t="s">
        <v>45</v>
      </c>
      <c r="C30" s="38" t="s">
        <v>49</v>
      </c>
      <c r="D30" s="27" t="s">
        <v>54</v>
      </c>
      <c r="E30" s="158" t="s">
        <v>194</v>
      </c>
      <c r="F30" s="164" t="s">
        <v>243</v>
      </c>
      <c r="G30" s="2">
        <f t="shared" si="0"/>
        <v>153852</v>
      </c>
      <c r="H30" s="82"/>
      <c r="I30" s="83">
        <f>6500+3102-300+150000+36750+8000-50200</f>
        <v>153852</v>
      </c>
      <c r="J30" s="104">
        <f t="shared" ref="J30:J35" si="2">I30</f>
        <v>153852</v>
      </c>
      <c r="L30" s="60"/>
    </row>
    <row r="31" spans="1:12" ht="45.75" customHeight="1" x14ac:dyDescent="0.25">
      <c r="A31" s="6" t="s">
        <v>43</v>
      </c>
      <c r="B31" s="45" t="s">
        <v>46</v>
      </c>
      <c r="C31" s="45" t="s">
        <v>50</v>
      </c>
      <c r="D31" s="67" t="s">
        <v>198</v>
      </c>
      <c r="E31" s="159"/>
      <c r="F31" s="165"/>
      <c r="G31" s="2">
        <f t="shared" si="0"/>
        <v>1406341</v>
      </c>
      <c r="H31" s="82">
        <v>16800</v>
      </c>
      <c r="I31" s="83">
        <f>76715+4842-14715+826441+150000+479000+205000-49548-339094-37699-2190-32697+123486</f>
        <v>1389541</v>
      </c>
      <c r="J31" s="104">
        <f t="shared" si="2"/>
        <v>1389541</v>
      </c>
      <c r="L31" s="60"/>
    </row>
    <row r="32" spans="1:12" ht="18" hidden="1" customHeight="1" x14ac:dyDescent="0.25">
      <c r="A32" s="38"/>
      <c r="B32" s="38"/>
      <c r="C32" s="38"/>
      <c r="D32" s="27"/>
      <c r="E32" s="159"/>
      <c r="F32" s="165"/>
      <c r="G32" s="2"/>
      <c r="H32" s="82"/>
      <c r="I32" s="82"/>
      <c r="J32" s="4">
        <f t="shared" si="2"/>
        <v>0</v>
      </c>
    </row>
    <row r="33" spans="1:10" ht="20.25" customHeight="1" x14ac:dyDescent="0.25">
      <c r="A33" s="38" t="s">
        <v>44</v>
      </c>
      <c r="B33" s="38" t="s">
        <v>48</v>
      </c>
      <c r="C33" s="38" t="s">
        <v>52</v>
      </c>
      <c r="D33" s="61" t="s">
        <v>55</v>
      </c>
      <c r="E33" s="159"/>
      <c r="F33" s="165"/>
      <c r="G33" s="2">
        <f t="shared" si="0"/>
        <v>8000</v>
      </c>
      <c r="H33" s="4">
        <v>8000</v>
      </c>
      <c r="I33" s="4"/>
      <c r="J33" s="4">
        <f t="shared" si="2"/>
        <v>0</v>
      </c>
    </row>
    <row r="34" spans="1:10" ht="18.75" hidden="1" customHeight="1" x14ac:dyDescent="0.25">
      <c r="A34" s="8"/>
      <c r="B34" s="7"/>
      <c r="C34" s="7"/>
      <c r="D34" s="62"/>
      <c r="E34" s="159"/>
      <c r="F34" s="165"/>
      <c r="G34" s="2">
        <f t="shared" si="0"/>
        <v>0</v>
      </c>
      <c r="H34" s="4"/>
      <c r="I34" s="4"/>
      <c r="J34" s="4">
        <f t="shared" si="2"/>
        <v>0</v>
      </c>
    </row>
    <row r="35" spans="1:10" ht="34.5" hidden="1" customHeight="1" x14ac:dyDescent="0.25">
      <c r="A35" s="8" t="s">
        <v>234</v>
      </c>
      <c r="B35" s="7" t="s">
        <v>232</v>
      </c>
      <c r="C35" s="7" t="s">
        <v>53</v>
      </c>
      <c r="D35" s="95" t="s">
        <v>233</v>
      </c>
      <c r="E35" s="159"/>
      <c r="F35" s="165"/>
      <c r="G35" s="2">
        <f t="shared" si="0"/>
        <v>0</v>
      </c>
      <c r="H35" s="4"/>
      <c r="I35" s="4"/>
      <c r="J35" s="104">
        <f t="shared" si="2"/>
        <v>0</v>
      </c>
    </row>
    <row r="36" spans="1:10" ht="18.75" customHeight="1" x14ac:dyDescent="0.2">
      <c r="A36" s="148" t="s">
        <v>87</v>
      </c>
      <c r="B36" s="151"/>
      <c r="C36" s="151"/>
      <c r="D36" s="152"/>
      <c r="E36" s="160"/>
      <c r="F36" s="166"/>
      <c r="G36" s="2">
        <f t="shared" si="0"/>
        <v>1568193</v>
      </c>
      <c r="H36" s="2">
        <f>H30+H31+H32+H33+H34+H35</f>
        <v>24800</v>
      </c>
      <c r="I36" s="2">
        <f>I30+I31+I32+I33+I34+I35</f>
        <v>1543393</v>
      </c>
      <c r="J36" s="2">
        <f>J30+J31+J32+J33+J34+J35</f>
        <v>1543393</v>
      </c>
    </row>
    <row r="37" spans="1:10" ht="47.25" hidden="1" customHeight="1" x14ac:dyDescent="0.25">
      <c r="A37" s="6" t="s">
        <v>43</v>
      </c>
      <c r="B37" s="88" t="s">
        <v>46</v>
      </c>
      <c r="C37" s="88" t="s">
        <v>50</v>
      </c>
      <c r="D37" s="67" t="s">
        <v>198</v>
      </c>
      <c r="E37" s="87" t="s">
        <v>230</v>
      </c>
      <c r="F37" s="86" t="s">
        <v>229</v>
      </c>
      <c r="G37" s="2">
        <f t="shared" si="0"/>
        <v>0</v>
      </c>
      <c r="H37" s="4">
        <f>85000-85000</f>
        <v>0</v>
      </c>
      <c r="I37" s="2"/>
      <c r="J37" s="2"/>
    </row>
    <row r="38" spans="1:10" s="91" customFormat="1" ht="30" customHeight="1" x14ac:dyDescent="0.2">
      <c r="A38" s="153" t="s">
        <v>56</v>
      </c>
      <c r="B38" s="153"/>
      <c r="C38" s="153"/>
      <c r="D38" s="140" t="s">
        <v>57</v>
      </c>
      <c r="E38" s="154"/>
      <c r="F38" s="155"/>
      <c r="G38" s="90">
        <f t="shared" si="0"/>
        <v>3599026.36</v>
      </c>
      <c r="H38" s="90">
        <f>H39+H43+H44+H49+H50+H51</f>
        <v>2658400</v>
      </c>
      <c r="I38" s="90">
        <f>I39+I43+I44+I49+I50+I51</f>
        <v>940626.36</v>
      </c>
      <c r="J38" s="90">
        <f>J39+J43+J44+J49+J50+J51</f>
        <v>940626.36</v>
      </c>
    </row>
    <row r="39" spans="1:10" s="46" customFormat="1" ht="47.25" customHeight="1" x14ac:dyDescent="0.25">
      <c r="A39" s="11" t="s">
        <v>90</v>
      </c>
      <c r="B39" s="45" t="s">
        <v>91</v>
      </c>
      <c r="C39" s="45" t="s">
        <v>92</v>
      </c>
      <c r="D39" s="56" t="s">
        <v>93</v>
      </c>
      <c r="E39" s="44" t="s">
        <v>215</v>
      </c>
      <c r="F39" s="43" t="s">
        <v>216</v>
      </c>
      <c r="G39" s="2">
        <f t="shared" si="0"/>
        <v>400000</v>
      </c>
      <c r="H39" s="12">
        <f>550000-150000</f>
        <v>400000</v>
      </c>
      <c r="I39" s="13"/>
      <c r="J39" s="13"/>
    </row>
    <row r="40" spans="1:10" s="46" customFormat="1" ht="32.25" customHeight="1" x14ac:dyDescent="0.25">
      <c r="A40" s="11" t="s">
        <v>153</v>
      </c>
      <c r="B40" s="38" t="s">
        <v>148</v>
      </c>
      <c r="C40" s="38" t="s">
        <v>92</v>
      </c>
      <c r="D40" s="28" t="s">
        <v>158</v>
      </c>
      <c r="E40" s="161" t="s">
        <v>213</v>
      </c>
      <c r="F40" s="195" t="s">
        <v>214</v>
      </c>
      <c r="G40" s="2">
        <f t="shared" si="0"/>
        <v>20000</v>
      </c>
      <c r="H40" s="12">
        <v>20000</v>
      </c>
      <c r="I40" s="13"/>
      <c r="J40" s="13"/>
    </row>
    <row r="41" spans="1:10" s="46" customFormat="1" ht="32.25" customHeight="1" x14ac:dyDescent="0.25">
      <c r="A41" s="6" t="s">
        <v>94</v>
      </c>
      <c r="B41" s="38" t="s">
        <v>95</v>
      </c>
      <c r="C41" s="38" t="s">
        <v>92</v>
      </c>
      <c r="D41" s="27" t="s">
        <v>96</v>
      </c>
      <c r="E41" s="162"/>
      <c r="F41" s="236"/>
      <c r="G41" s="2">
        <f t="shared" si="0"/>
        <v>388000</v>
      </c>
      <c r="H41" s="12">
        <f>200000+38000+150000</f>
        <v>388000</v>
      </c>
      <c r="I41" s="13"/>
      <c r="J41" s="13"/>
    </row>
    <row r="42" spans="1:10" s="46" customFormat="1" ht="32.25" customHeight="1" x14ac:dyDescent="0.25">
      <c r="A42" s="6" t="s">
        <v>97</v>
      </c>
      <c r="B42" s="38" t="s">
        <v>98</v>
      </c>
      <c r="C42" s="38" t="s">
        <v>92</v>
      </c>
      <c r="D42" s="27" t="s">
        <v>99</v>
      </c>
      <c r="E42" s="162"/>
      <c r="F42" s="236"/>
      <c r="G42" s="2">
        <f t="shared" si="0"/>
        <v>250000</v>
      </c>
      <c r="H42" s="12">
        <v>250000</v>
      </c>
      <c r="I42" s="13"/>
      <c r="J42" s="13"/>
    </row>
    <row r="43" spans="1:10" s="63" customFormat="1" ht="19.5" customHeight="1" x14ac:dyDescent="0.2">
      <c r="A43" s="148" t="s">
        <v>87</v>
      </c>
      <c r="B43" s="156"/>
      <c r="C43" s="156"/>
      <c r="D43" s="157"/>
      <c r="E43" s="163"/>
      <c r="F43" s="237"/>
      <c r="G43" s="2">
        <f t="shared" si="0"/>
        <v>658000</v>
      </c>
      <c r="H43" s="13">
        <f>H40+H41+H42</f>
        <v>658000</v>
      </c>
      <c r="I43" s="13">
        <f>I40+I41+I42</f>
        <v>0</v>
      </c>
      <c r="J43" s="13">
        <f>J40+J41+J42</f>
        <v>0</v>
      </c>
    </row>
    <row r="44" spans="1:10" ht="18.75" customHeight="1" x14ac:dyDescent="0.2">
      <c r="A44" s="198" t="s">
        <v>58</v>
      </c>
      <c r="B44" s="198" t="s">
        <v>60</v>
      </c>
      <c r="C44" s="198" t="s">
        <v>47</v>
      </c>
      <c r="D44" s="167" t="s">
        <v>63</v>
      </c>
      <c r="E44" s="168"/>
      <c r="F44" s="39"/>
      <c r="G44" s="2">
        <f t="shared" si="0"/>
        <v>1305400</v>
      </c>
      <c r="H44" s="2">
        <f>H45+H46+H47+H48</f>
        <v>1305400</v>
      </c>
      <c r="I44" s="2">
        <f>I45+I46+I47</f>
        <v>0</v>
      </c>
      <c r="J44" s="2">
        <f>J45+J46+J47</f>
        <v>0</v>
      </c>
    </row>
    <row r="45" spans="1:10" ht="30" x14ac:dyDescent="0.2">
      <c r="A45" s="199"/>
      <c r="B45" s="199"/>
      <c r="C45" s="199"/>
      <c r="D45" s="29" t="s">
        <v>64</v>
      </c>
      <c r="E45" s="14" t="s">
        <v>65</v>
      </c>
      <c r="F45" s="36" t="s">
        <v>70</v>
      </c>
      <c r="G45" s="2">
        <f t="shared" si="0"/>
        <v>200000</v>
      </c>
      <c r="H45" s="4">
        <v>200000</v>
      </c>
      <c r="I45" s="4"/>
      <c r="J45" s="4"/>
    </row>
    <row r="46" spans="1:10" ht="48.75" customHeight="1" x14ac:dyDescent="0.2">
      <c r="A46" s="199"/>
      <c r="B46" s="199"/>
      <c r="C46" s="199"/>
      <c r="D46" s="30" t="s">
        <v>66</v>
      </c>
      <c r="E46" s="3" t="s">
        <v>227</v>
      </c>
      <c r="F46" s="86" t="s">
        <v>228</v>
      </c>
      <c r="G46" s="2">
        <f t="shared" si="0"/>
        <v>128000</v>
      </c>
      <c r="H46" s="4">
        <f>80000+48000</f>
        <v>128000</v>
      </c>
      <c r="I46" s="4"/>
      <c r="J46" s="4"/>
    </row>
    <row r="47" spans="1:10" ht="22.5" customHeight="1" x14ac:dyDescent="0.2">
      <c r="A47" s="199"/>
      <c r="B47" s="199"/>
      <c r="C47" s="199"/>
      <c r="D47" s="30" t="s">
        <v>67</v>
      </c>
      <c r="E47" s="181" t="s">
        <v>68</v>
      </c>
      <c r="F47" s="180" t="s">
        <v>254</v>
      </c>
      <c r="G47" s="2">
        <f t="shared" si="0"/>
        <v>916200</v>
      </c>
      <c r="H47" s="4">
        <f>331200+585000</f>
        <v>916200</v>
      </c>
      <c r="I47" s="4"/>
      <c r="J47" s="4"/>
    </row>
    <row r="48" spans="1:10" ht="22.5" customHeight="1" x14ac:dyDescent="0.2">
      <c r="A48" s="194"/>
      <c r="B48" s="194"/>
      <c r="C48" s="194"/>
      <c r="D48" s="30" t="s">
        <v>185</v>
      </c>
      <c r="E48" s="182"/>
      <c r="F48" s="180"/>
      <c r="G48" s="2">
        <f t="shared" si="0"/>
        <v>61200</v>
      </c>
      <c r="H48" s="4">
        <v>61200</v>
      </c>
      <c r="I48" s="4"/>
      <c r="J48" s="4"/>
    </row>
    <row r="49" spans="1:10" ht="65.25" customHeight="1" x14ac:dyDescent="0.25">
      <c r="A49" s="8" t="s">
        <v>180</v>
      </c>
      <c r="B49" s="7" t="s">
        <v>181</v>
      </c>
      <c r="C49" s="7" t="s">
        <v>45</v>
      </c>
      <c r="D49" s="56" t="s">
        <v>182</v>
      </c>
      <c r="E49" s="182"/>
      <c r="F49" s="180"/>
      <c r="G49" s="2">
        <f t="shared" si="0"/>
        <v>220000</v>
      </c>
      <c r="H49" s="4">
        <v>220000</v>
      </c>
      <c r="I49" s="4"/>
      <c r="J49" s="4"/>
    </row>
    <row r="50" spans="1:10" ht="46.5" customHeight="1" x14ac:dyDescent="0.25">
      <c r="A50" s="38" t="s">
        <v>59</v>
      </c>
      <c r="B50" s="38" t="s">
        <v>61</v>
      </c>
      <c r="C50" s="38" t="s">
        <v>62</v>
      </c>
      <c r="D50" s="27" t="s">
        <v>69</v>
      </c>
      <c r="E50" s="183"/>
      <c r="F50" s="212"/>
      <c r="G50" s="2">
        <f t="shared" si="0"/>
        <v>75000</v>
      </c>
      <c r="H50" s="4">
        <f>65000+10000</f>
        <v>75000</v>
      </c>
      <c r="I50" s="4"/>
      <c r="J50" s="4"/>
    </row>
    <row r="51" spans="1:10" ht="46.5" customHeight="1" x14ac:dyDescent="0.2">
      <c r="A51" s="8" t="s">
        <v>247</v>
      </c>
      <c r="B51" s="7" t="s">
        <v>248</v>
      </c>
      <c r="C51" s="112" t="s">
        <v>249</v>
      </c>
      <c r="D51" s="113" t="s">
        <v>250</v>
      </c>
      <c r="E51" s="184"/>
      <c r="F51" s="213"/>
      <c r="G51" s="2">
        <f t="shared" si="0"/>
        <v>940626.36</v>
      </c>
      <c r="H51" s="4"/>
      <c r="I51" s="4">
        <v>940626.36</v>
      </c>
      <c r="J51" s="4">
        <f>I51</f>
        <v>940626.36</v>
      </c>
    </row>
    <row r="52" spans="1:10" s="94" customFormat="1" ht="26.25" customHeight="1" x14ac:dyDescent="0.2">
      <c r="A52" s="92">
        <v>10</v>
      </c>
      <c r="B52" s="93"/>
      <c r="C52" s="93"/>
      <c r="D52" s="169" t="s">
        <v>241</v>
      </c>
      <c r="E52" s="170"/>
      <c r="F52" s="171"/>
      <c r="G52" s="90">
        <f t="shared" si="0"/>
        <v>255400</v>
      </c>
      <c r="H52" s="90">
        <f>H53+H54</f>
        <v>255400</v>
      </c>
      <c r="I52" s="90">
        <f>I53+I54</f>
        <v>0</v>
      </c>
      <c r="J52" s="90">
        <f>J53+J54</f>
        <v>0</v>
      </c>
    </row>
    <row r="53" spans="1:10" s="63" customFormat="1" ht="44.25" customHeight="1" x14ac:dyDescent="0.25">
      <c r="A53" s="6" t="s">
        <v>136</v>
      </c>
      <c r="B53" s="99" t="s">
        <v>135</v>
      </c>
      <c r="C53" s="99" t="s">
        <v>51</v>
      </c>
      <c r="D53" s="97" t="s">
        <v>239</v>
      </c>
      <c r="E53" s="98" t="s">
        <v>238</v>
      </c>
      <c r="F53" s="100" t="s">
        <v>240</v>
      </c>
      <c r="G53" s="2">
        <f t="shared" si="0"/>
        <v>5400</v>
      </c>
      <c r="H53" s="12">
        <v>5400</v>
      </c>
      <c r="I53" s="13"/>
      <c r="J53" s="13"/>
    </row>
    <row r="54" spans="1:10" s="46" customFormat="1" ht="37.5" customHeight="1" x14ac:dyDescent="0.25">
      <c r="A54" s="6" t="s">
        <v>125</v>
      </c>
      <c r="B54" s="38" t="s">
        <v>126</v>
      </c>
      <c r="C54" s="38" t="s">
        <v>127</v>
      </c>
      <c r="D54" s="34" t="s">
        <v>128</v>
      </c>
      <c r="E54" s="101" t="s">
        <v>242</v>
      </c>
      <c r="F54" s="37" t="s">
        <v>218</v>
      </c>
      <c r="G54" s="2">
        <f t="shared" si="0"/>
        <v>250000</v>
      </c>
      <c r="H54" s="12">
        <v>250000</v>
      </c>
      <c r="I54" s="12"/>
      <c r="J54" s="12"/>
    </row>
    <row r="55" spans="1:10" s="91" customFormat="1" ht="23.25" customHeight="1" x14ac:dyDescent="0.2">
      <c r="A55" s="132" t="s">
        <v>71</v>
      </c>
      <c r="B55" s="132"/>
      <c r="C55" s="132"/>
      <c r="D55" s="140" t="s">
        <v>72</v>
      </c>
      <c r="E55" s="140"/>
      <c r="F55" s="141"/>
      <c r="G55" s="90">
        <f t="shared" si="0"/>
        <v>376000</v>
      </c>
      <c r="H55" s="90">
        <f>H56+H57+H58+H59+H60</f>
        <v>376000</v>
      </c>
      <c r="I55" s="90">
        <f>I56+I57+I58+I59+I60</f>
        <v>0</v>
      </c>
      <c r="J55" s="90">
        <f>J56+J57+J58+J59+J60</f>
        <v>0</v>
      </c>
    </row>
    <row r="56" spans="1:10" ht="47.25" customHeight="1" x14ac:dyDescent="0.2">
      <c r="A56" s="7" t="s">
        <v>73</v>
      </c>
      <c r="B56" s="11" t="s">
        <v>76</v>
      </c>
      <c r="C56" s="11" t="s">
        <v>29</v>
      </c>
      <c r="D56" s="64" t="s">
        <v>79</v>
      </c>
      <c r="E56" s="3" t="s">
        <v>82</v>
      </c>
      <c r="F56" s="121" t="s">
        <v>228</v>
      </c>
      <c r="G56" s="2">
        <f t="shared" si="0"/>
        <v>93000</v>
      </c>
      <c r="H56" s="4">
        <f>68000+10000+15000</f>
        <v>93000</v>
      </c>
      <c r="I56" s="4"/>
      <c r="J56" s="4"/>
    </row>
    <row r="57" spans="1:10" ht="30" x14ac:dyDescent="0.2">
      <c r="A57" s="179" t="s">
        <v>74</v>
      </c>
      <c r="B57" s="179" t="s">
        <v>77</v>
      </c>
      <c r="C57" s="179" t="s">
        <v>53</v>
      </c>
      <c r="D57" s="167" t="s">
        <v>80</v>
      </c>
      <c r="E57" s="3" t="s">
        <v>83</v>
      </c>
      <c r="F57" s="37" t="s">
        <v>88</v>
      </c>
      <c r="G57" s="2">
        <f t="shared" si="0"/>
        <v>2000</v>
      </c>
      <c r="H57" s="4">
        <v>2000</v>
      </c>
      <c r="I57" s="4"/>
      <c r="J57" s="4"/>
    </row>
    <row r="58" spans="1:10" ht="29.25" customHeight="1" x14ac:dyDescent="0.2">
      <c r="A58" s="180"/>
      <c r="B58" s="180"/>
      <c r="C58" s="180"/>
      <c r="D58" s="167"/>
      <c r="E58" s="15" t="s">
        <v>133</v>
      </c>
      <c r="F58" s="36" t="s">
        <v>85</v>
      </c>
      <c r="G58" s="2">
        <f t="shared" si="0"/>
        <v>250000</v>
      </c>
      <c r="H58" s="4">
        <f>100000+150000</f>
        <v>250000</v>
      </c>
      <c r="I58" s="4"/>
      <c r="J58" s="4"/>
    </row>
    <row r="59" spans="1:10" ht="18.75" customHeight="1" x14ac:dyDescent="0.2">
      <c r="A59" s="180"/>
      <c r="B59" s="180"/>
      <c r="C59" s="180"/>
      <c r="D59" s="167"/>
      <c r="E59" s="219" t="s">
        <v>84</v>
      </c>
      <c r="F59" s="216" t="s">
        <v>145</v>
      </c>
      <c r="G59" s="2">
        <f t="shared" si="0"/>
        <v>28000</v>
      </c>
      <c r="H59" s="4">
        <f>48000-20000</f>
        <v>28000</v>
      </c>
      <c r="I59" s="4"/>
      <c r="J59" s="4"/>
    </row>
    <row r="60" spans="1:10" ht="29.25" customHeight="1" x14ac:dyDescent="0.25">
      <c r="A60" s="38" t="s">
        <v>75</v>
      </c>
      <c r="B60" s="38" t="s">
        <v>78</v>
      </c>
      <c r="C60" s="38" t="s">
        <v>53</v>
      </c>
      <c r="D60" s="27" t="s">
        <v>81</v>
      </c>
      <c r="E60" s="220"/>
      <c r="F60" s="216"/>
      <c r="G60" s="2">
        <f t="shared" si="0"/>
        <v>3000</v>
      </c>
      <c r="H60" s="4">
        <v>3000</v>
      </c>
      <c r="I60" s="4"/>
      <c r="J60" s="4"/>
    </row>
    <row r="61" spans="1:10" s="91" customFormat="1" ht="19.5" customHeight="1" x14ac:dyDescent="0.2">
      <c r="A61" s="172" t="s">
        <v>86</v>
      </c>
      <c r="B61" s="173"/>
      <c r="C61" s="173"/>
      <c r="D61" s="173"/>
      <c r="E61" s="173"/>
      <c r="F61" s="155"/>
      <c r="G61" s="90">
        <f t="shared" si="0"/>
        <v>39581182.120000005</v>
      </c>
      <c r="H61" s="90">
        <f>H72+H86+H89+H103+H113</f>
        <v>19141950</v>
      </c>
      <c r="I61" s="90">
        <f>I72+I86+I89+I103+I113</f>
        <v>20439232.120000001</v>
      </c>
      <c r="J61" s="90">
        <f>J72+J86+J89+J103+J113</f>
        <v>19932602.120000001</v>
      </c>
    </row>
    <row r="62" spans="1:10" ht="47.25" hidden="1" customHeight="1" x14ac:dyDescent="0.25">
      <c r="A62" s="45"/>
      <c r="B62" s="66"/>
      <c r="C62" s="45"/>
      <c r="D62" s="67"/>
      <c r="F62" s="84"/>
      <c r="G62" s="2"/>
      <c r="H62" s="4"/>
      <c r="I62" s="2"/>
      <c r="J62" s="2"/>
    </row>
    <row r="63" spans="1:10" s="46" customFormat="1" ht="47.25" hidden="1" customHeight="1" x14ac:dyDescent="0.25">
      <c r="A63" s="11"/>
      <c r="B63" s="45"/>
      <c r="C63" s="45"/>
      <c r="D63" s="56"/>
      <c r="E63" s="44"/>
      <c r="F63" s="43"/>
      <c r="G63" s="2"/>
      <c r="H63" s="12"/>
      <c r="I63" s="13"/>
      <c r="J63" s="13"/>
    </row>
    <row r="64" spans="1:10" s="46" customFormat="1" ht="23.25" customHeight="1" x14ac:dyDescent="0.25">
      <c r="A64" s="6" t="s">
        <v>117</v>
      </c>
      <c r="B64" s="96" t="s">
        <v>118</v>
      </c>
      <c r="C64" s="96" t="s">
        <v>119</v>
      </c>
      <c r="D64" s="24" t="s">
        <v>120</v>
      </c>
      <c r="E64" s="161" t="s">
        <v>134</v>
      </c>
      <c r="F64" s="176" t="s">
        <v>261</v>
      </c>
      <c r="G64" s="2">
        <f t="shared" si="0"/>
        <v>2627800</v>
      </c>
      <c r="H64" s="12">
        <f>200000+265800+200000+1022000+65000+61200+180000+283800+100000+170000+80000</f>
        <v>2627800</v>
      </c>
      <c r="I64" s="12"/>
      <c r="J64" s="12"/>
    </row>
    <row r="65" spans="1:11" ht="31.5" customHeight="1" x14ac:dyDescent="0.2">
      <c r="A65" s="6" t="s">
        <v>121</v>
      </c>
      <c r="B65" s="38" t="s">
        <v>122</v>
      </c>
      <c r="C65" s="38" t="s">
        <v>123</v>
      </c>
      <c r="D65" s="35" t="s">
        <v>124</v>
      </c>
      <c r="E65" s="174"/>
      <c r="F65" s="177"/>
      <c r="G65" s="2">
        <f t="shared" si="0"/>
        <v>335500</v>
      </c>
      <c r="H65" s="12">
        <f>250000+85500</f>
        <v>335500</v>
      </c>
      <c r="I65" s="12"/>
      <c r="J65" s="2"/>
      <c r="K65" s="47"/>
    </row>
    <row r="66" spans="1:11" ht="31.5" customHeight="1" x14ac:dyDescent="0.2">
      <c r="A66" s="189" t="s">
        <v>211</v>
      </c>
      <c r="B66" s="198" t="s">
        <v>209</v>
      </c>
      <c r="C66" s="198" t="s">
        <v>34</v>
      </c>
      <c r="D66" s="57" t="s">
        <v>219</v>
      </c>
      <c r="E66" s="174"/>
      <c r="F66" s="177"/>
      <c r="G66" s="2">
        <f t="shared" si="0"/>
        <v>451597</v>
      </c>
      <c r="H66" s="12">
        <f>100000+117000+102000+109400-23976</f>
        <v>404424</v>
      </c>
      <c r="I66" s="12">
        <f>23197+23976</f>
        <v>47173</v>
      </c>
      <c r="J66" s="4">
        <f>I66</f>
        <v>47173</v>
      </c>
      <c r="K66" s="47"/>
    </row>
    <row r="67" spans="1:11" ht="31.5" customHeight="1" x14ac:dyDescent="0.2">
      <c r="A67" s="190"/>
      <c r="B67" s="229"/>
      <c r="C67" s="229"/>
      <c r="D67" s="57" t="s">
        <v>220</v>
      </c>
      <c r="E67" s="174"/>
      <c r="F67" s="177"/>
      <c r="G67" s="2">
        <f t="shared" si="0"/>
        <v>153600</v>
      </c>
      <c r="H67" s="12">
        <f>123600+30000</f>
        <v>153600</v>
      </c>
      <c r="I67" s="12"/>
      <c r="J67" s="2"/>
      <c r="K67" s="47"/>
    </row>
    <row r="68" spans="1:11" ht="31.5" customHeight="1" x14ac:dyDescent="0.25">
      <c r="A68" s="6" t="s">
        <v>235</v>
      </c>
      <c r="B68" s="96" t="s">
        <v>236</v>
      </c>
      <c r="C68" s="96" t="s">
        <v>34</v>
      </c>
      <c r="D68" s="97" t="s">
        <v>237</v>
      </c>
      <c r="E68" s="174"/>
      <c r="F68" s="177"/>
      <c r="G68" s="2">
        <f t="shared" si="0"/>
        <v>184500</v>
      </c>
      <c r="H68" s="12">
        <f>49500+55000+30000+20000+30000</f>
        <v>184500</v>
      </c>
      <c r="I68" s="12"/>
      <c r="J68" s="2"/>
      <c r="K68" s="47"/>
    </row>
    <row r="69" spans="1:11" ht="45" x14ac:dyDescent="0.25">
      <c r="A69" s="38" t="s">
        <v>32</v>
      </c>
      <c r="B69" s="38" t="s">
        <v>33</v>
      </c>
      <c r="C69" s="38" t="s">
        <v>34</v>
      </c>
      <c r="D69" s="65" t="s">
        <v>24</v>
      </c>
      <c r="E69" s="174"/>
      <c r="F69" s="177"/>
      <c r="G69" s="2">
        <f t="shared" si="0"/>
        <v>2569172</v>
      </c>
      <c r="H69" s="118">
        <f>2565000-35000+9672</f>
        <v>2539672</v>
      </c>
      <c r="I69" s="4">
        <f>35000-5500</f>
        <v>29500</v>
      </c>
      <c r="J69" s="104">
        <f>I69</f>
        <v>29500</v>
      </c>
    </row>
    <row r="70" spans="1:11" ht="18" customHeight="1" x14ac:dyDescent="0.25">
      <c r="A70" s="38" t="s">
        <v>35</v>
      </c>
      <c r="B70" s="38" t="s">
        <v>36</v>
      </c>
      <c r="C70" s="38" t="s">
        <v>34</v>
      </c>
      <c r="D70" s="65" t="s">
        <v>25</v>
      </c>
      <c r="E70" s="174"/>
      <c r="F70" s="177"/>
      <c r="G70" s="2">
        <f t="shared" si="0"/>
        <v>9333818</v>
      </c>
      <c r="H70" s="4">
        <f>10600000-60000+201000-236000+230000-200000-253000-600000-30000-318182</f>
        <v>9333818</v>
      </c>
      <c r="I70" s="4"/>
      <c r="J70" s="4"/>
    </row>
    <row r="71" spans="1:11" ht="21" customHeight="1" x14ac:dyDescent="0.25">
      <c r="A71" s="8" t="s">
        <v>104</v>
      </c>
      <c r="B71" s="7" t="s">
        <v>105</v>
      </c>
      <c r="C71" s="7" t="s">
        <v>106</v>
      </c>
      <c r="D71" s="28" t="s">
        <v>107</v>
      </c>
      <c r="E71" s="174"/>
      <c r="F71" s="177"/>
      <c r="G71" s="2">
        <f t="shared" si="0"/>
        <v>300000</v>
      </c>
      <c r="H71" s="4">
        <v>300000</v>
      </c>
      <c r="I71" s="4"/>
      <c r="J71" s="4"/>
    </row>
    <row r="72" spans="1:11" ht="17.25" customHeight="1" x14ac:dyDescent="0.2">
      <c r="A72" s="148" t="s">
        <v>87</v>
      </c>
      <c r="B72" s="151"/>
      <c r="C72" s="151"/>
      <c r="D72" s="151"/>
      <c r="E72" s="175"/>
      <c r="F72" s="178"/>
      <c r="G72" s="2">
        <f>H72+I72</f>
        <v>15955987</v>
      </c>
      <c r="H72" s="2">
        <f>H62+H63+H64+H65+H66+H67+H68+H69+H70+H71</f>
        <v>15879314</v>
      </c>
      <c r="I72" s="2">
        <f>I64+I65+I66+I67+I69+I70+I71</f>
        <v>76673</v>
      </c>
      <c r="J72" s="2">
        <f>J64+J65+J66+J67+J69+J70+J71</f>
        <v>76673</v>
      </c>
    </row>
    <row r="73" spans="1:11" ht="27.75" customHeight="1" x14ac:dyDescent="0.25">
      <c r="A73" s="38" t="s">
        <v>100</v>
      </c>
      <c r="B73" s="38" t="s">
        <v>101</v>
      </c>
      <c r="C73" s="38" t="s">
        <v>102</v>
      </c>
      <c r="D73" s="27" t="s">
        <v>103</v>
      </c>
      <c r="E73" s="202" t="s">
        <v>192</v>
      </c>
      <c r="F73" s="208" t="s">
        <v>184</v>
      </c>
      <c r="G73" s="2">
        <f t="shared" ref="G73:G103" si="3">H73+I73</f>
        <v>195000</v>
      </c>
      <c r="H73" s="12">
        <v>195000</v>
      </c>
      <c r="I73" s="12"/>
      <c r="J73" s="12"/>
    </row>
    <row r="74" spans="1:11" ht="17.25" hidden="1" customHeight="1" x14ac:dyDescent="0.25">
      <c r="A74" s="38" t="s">
        <v>16</v>
      </c>
      <c r="B74" s="38" t="s">
        <v>17</v>
      </c>
      <c r="C74" s="38" t="s">
        <v>18</v>
      </c>
      <c r="D74" s="56" t="s">
        <v>15</v>
      </c>
      <c r="E74" s="203"/>
      <c r="F74" s="203"/>
      <c r="G74" s="2">
        <f t="shared" si="3"/>
        <v>0</v>
      </c>
      <c r="H74" s="12"/>
      <c r="I74" s="12"/>
      <c r="J74" s="12"/>
    </row>
    <row r="75" spans="1:11" ht="20.25" customHeight="1" x14ac:dyDescent="0.25">
      <c r="A75" s="38" t="s">
        <v>42</v>
      </c>
      <c r="B75" s="66">
        <v>1010</v>
      </c>
      <c r="C75" s="38" t="s">
        <v>49</v>
      </c>
      <c r="D75" s="27" t="s">
        <v>54</v>
      </c>
      <c r="E75" s="203"/>
      <c r="F75" s="203"/>
      <c r="G75" s="2">
        <f t="shared" si="3"/>
        <v>50000</v>
      </c>
      <c r="H75" s="12">
        <v>50000</v>
      </c>
      <c r="I75" s="12"/>
      <c r="J75" s="12"/>
    </row>
    <row r="76" spans="1:11" ht="47.25" x14ac:dyDescent="0.25">
      <c r="A76" s="38" t="s">
        <v>43</v>
      </c>
      <c r="B76" s="66">
        <v>1020</v>
      </c>
      <c r="C76" s="38" t="s">
        <v>50</v>
      </c>
      <c r="D76" s="67" t="s">
        <v>198</v>
      </c>
      <c r="E76" s="203"/>
      <c r="F76" s="203"/>
      <c r="G76" s="2">
        <f t="shared" si="3"/>
        <v>50000</v>
      </c>
      <c r="H76" s="12">
        <v>50000</v>
      </c>
      <c r="I76" s="12"/>
      <c r="J76" s="12"/>
    </row>
    <row r="77" spans="1:11" ht="31.5" customHeight="1" x14ac:dyDescent="0.25">
      <c r="A77" s="38" t="s">
        <v>108</v>
      </c>
      <c r="B77" s="38" t="s">
        <v>101</v>
      </c>
      <c r="C77" s="38" t="s">
        <v>102</v>
      </c>
      <c r="D77" s="27" t="s">
        <v>103</v>
      </c>
      <c r="E77" s="203"/>
      <c r="F77" s="203"/>
      <c r="G77" s="2">
        <f t="shared" si="3"/>
        <v>25000</v>
      </c>
      <c r="H77" s="12">
        <v>25000</v>
      </c>
      <c r="I77" s="12"/>
      <c r="J77" s="12"/>
    </row>
    <row r="78" spans="1:11" ht="47.25" hidden="1" customHeight="1" x14ac:dyDescent="0.25">
      <c r="A78" s="8" t="s">
        <v>138</v>
      </c>
      <c r="B78" s="7" t="s">
        <v>139</v>
      </c>
      <c r="C78" s="7" t="s">
        <v>46</v>
      </c>
      <c r="D78" s="56" t="s">
        <v>140</v>
      </c>
      <c r="E78" s="203"/>
      <c r="F78" s="203"/>
      <c r="G78" s="2">
        <f t="shared" si="3"/>
        <v>0</v>
      </c>
      <c r="H78" s="12"/>
      <c r="I78" s="12"/>
      <c r="J78" s="12"/>
    </row>
    <row r="79" spans="1:11" ht="58.5" customHeight="1" x14ac:dyDescent="0.25">
      <c r="A79" s="8" t="s">
        <v>138</v>
      </c>
      <c r="B79" s="7" t="s">
        <v>139</v>
      </c>
      <c r="C79" s="7" t="s">
        <v>46</v>
      </c>
      <c r="D79" s="28" t="s">
        <v>140</v>
      </c>
      <c r="E79" s="203"/>
      <c r="F79" s="203"/>
      <c r="G79" s="2">
        <f t="shared" si="3"/>
        <v>20000</v>
      </c>
      <c r="H79" s="12">
        <v>20000</v>
      </c>
      <c r="I79" s="12"/>
      <c r="J79" s="12"/>
    </row>
    <row r="80" spans="1:11" ht="29.25" customHeight="1" x14ac:dyDescent="0.25">
      <c r="A80" s="38" t="s">
        <v>109</v>
      </c>
      <c r="B80" s="38" t="s">
        <v>110</v>
      </c>
      <c r="C80" s="38" t="s">
        <v>111</v>
      </c>
      <c r="D80" s="27" t="s">
        <v>112</v>
      </c>
      <c r="E80" s="203"/>
      <c r="F80" s="203"/>
      <c r="G80" s="2">
        <f t="shared" si="3"/>
        <v>65913</v>
      </c>
      <c r="H80" s="130">
        <f>35000+30913</f>
        <v>65913</v>
      </c>
      <c r="I80" s="12"/>
      <c r="J80" s="12"/>
    </row>
    <row r="81" spans="1:11" ht="15.75" hidden="1" x14ac:dyDescent="0.25">
      <c r="A81" s="38" t="s">
        <v>73</v>
      </c>
      <c r="B81" s="38" t="s">
        <v>76</v>
      </c>
      <c r="C81" s="38" t="s">
        <v>29</v>
      </c>
      <c r="D81" s="27" t="s">
        <v>79</v>
      </c>
      <c r="E81" s="203"/>
      <c r="F81" s="203"/>
      <c r="G81" s="2">
        <f t="shared" si="3"/>
        <v>0</v>
      </c>
      <c r="H81" s="89"/>
      <c r="I81" s="12"/>
      <c r="J81" s="12"/>
    </row>
    <row r="82" spans="1:11" ht="18" customHeight="1" x14ac:dyDescent="0.25">
      <c r="A82" s="8" t="s">
        <v>136</v>
      </c>
      <c r="B82" s="7" t="s">
        <v>135</v>
      </c>
      <c r="C82" s="7" t="s">
        <v>51</v>
      </c>
      <c r="D82" s="67" t="s">
        <v>200</v>
      </c>
      <c r="E82" s="203"/>
      <c r="F82" s="203"/>
      <c r="G82" s="2">
        <f t="shared" si="3"/>
        <v>20000</v>
      </c>
      <c r="H82" s="89">
        <v>20000</v>
      </c>
      <c r="I82" s="12"/>
      <c r="J82" s="12"/>
    </row>
    <row r="83" spans="1:11" ht="18" customHeight="1" x14ac:dyDescent="0.25">
      <c r="A83" s="8" t="s">
        <v>73</v>
      </c>
      <c r="B83" s="7" t="s">
        <v>76</v>
      </c>
      <c r="C83" s="7" t="s">
        <v>29</v>
      </c>
      <c r="D83" s="67" t="s">
        <v>159</v>
      </c>
      <c r="E83" s="203"/>
      <c r="F83" s="203"/>
      <c r="G83" s="2">
        <f t="shared" si="3"/>
        <v>20000</v>
      </c>
      <c r="H83" s="12">
        <v>20000</v>
      </c>
      <c r="I83" s="12"/>
      <c r="J83" s="12"/>
    </row>
    <row r="84" spans="1:11" ht="17.25" customHeight="1" x14ac:dyDescent="0.25">
      <c r="A84" s="38" t="s">
        <v>113</v>
      </c>
      <c r="B84" s="38" t="s">
        <v>114</v>
      </c>
      <c r="C84" s="38" t="s">
        <v>53</v>
      </c>
      <c r="D84" s="27" t="s">
        <v>115</v>
      </c>
      <c r="E84" s="203"/>
      <c r="F84" s="203"/>
      <c r="G84" s="2">
        <f t="shared" si="3"/>
        <v>20000</v>
      </c>
      <c r="H84" s="12">
        <v>20000</v>
      </c>
      <c r="I84" s="12"/>
      <c r="J84" s="12"/>
    </row>
    <row r="85" spans="1:11" ht="27.75" customHeight="1" x14ac:dyDescent="0.25">
      <c r="A85" s="38" t="s">
        <v>116</v>
      </c>
      <c r="B85" s="38" t="s">
        <v>101</v>
      </c>
      <c r="C85" s="38" t="s">
        <v>102</v>
      </c>
      <c r="D85" s="27" t="s">
        <v>103</v>
      </c>
      <c r="E85" s="203"/>
      <c r="F85" s="203"/>
      <c r="G85" s="2">
        <f t="shared" si="3"/>
        <v>43530</v>
      </c>
      <c r="H85" s="12">
        <f>40000+3530</f>
        <v>43530</v>
      </c>
      <c r="I85" s="12"/>
      <c r="J85" s="12"/>
    </row>
    <row r="86" spans="1:11" ht="15.75" x14ac:dyDescent="0.25">
      <c r="A86" s="148" t="s">
        <v>87</v>
      </c>
      <c r="B86" s="149"/>
      <c r="C86" s="149"/>
      <c r="D86" s="150"/>
      <c r="E86" s="204"/>
      <c r="F86" s="204"/>
      <c r="G86" s="2">
        <f t="shared" si="3"/>
        <v>509443</v>
      </c>
      <c r="H86" s="13">
        <f>SUM(H73:H85)</f>
        <v>509443</v>
      </c>
      <c r="I86" s="13">
        <f>SUM(I73:I85)</f>
        <v>0</v>
      </c>
      <c r="J86" s="13">
        <f>SUM(J73:J85)</f>
        <v>0</v>
      </c>
    </row>
    <row r="87" spans="1:11" ht="15.75" x14ac:dyDescent="0.25">
      <c r="A87" s="123" t="s">
        <v>141</v>
      </c>
      <c r="B87" s="124">
        <v>7640</v>
      </c>
      <c r="C87" s="124">
        <v>470</v>
      </c>
      <c r="D87" s="125" t="s">
        <v>259</v>
      </c>
      <c r="E87" s="158" t="s">
        <v>207</v>
      </c>
      <c r="F87" s="211" t="s">
        <v>223</v>
      </c>
      <c r="G87" s="32">
        <f>H87+I87</f>
        <v>16770</v>
      </c>
      <c r="H87" s="126">
        <v>16770</v>
      </c>
      <c r="I87" s="122"/>
      <c r="J87" s="122"/>
    </row>
    <row r="88" spans="1:11" ht="34.5" customHeight="1" x14ac:dyDescent="0.2">
      <c r="A88" s="38" t="s">
        <v>42</v>
      </c>
      <c r="B88" s="66">
        <v>1010</v>
      </c>
      <c r="C88" s="38" t="s">
        <v>49</v>
      </c>
      <c r="D88" s="34" t="s">
        <v>54</v>
      </c>
      <c r="E88" s="210"/>
      <c r="F88" s="210"/>
      <c r="G88" s="32">
        <f>H88+I88</f>
        <v>334485</v>
      </c>
      <c r="H88" s="31">
        <f>103545+124140+106800</f>
        <v>334485</v>
      </c>
      <c r="I88" s="31"/>
      <c r="J88" s="31"/>
    </row>
    <row r="89" spans="1:11" ht="20.25" customHeight="1" x14ac:dyDescent="0.25">
      <c r="A89" s="148" t="s">
        <v>87</v>
      </c>
      <c r="B89" s="149"/>
      <c r="C89" s="149"/>
      <c r="D89" s="150"/>
      <c r="E89" s="68"/>
      <c r="F89" s="69"/>
      <c r="G89" s="32">
        <f>H89+I89</f>
        <v>351255</v>
      </c>
      <c r="H89" s="32">
        <f>H88+H87</f>
        <v>351255</v>
      </c>
      <c r="I89" s="32">
        <f>I88</f>
        <v>0</v>
      </c>
      <c r="J89" s="32">
        <f>J88</f>
        <v>0</v>
      </c>
    </row>
    <row r="90" spans="1:11" ht="0.75" customHeight="1" x14ac:dyDescent="0.25">
      <c r="A90" s="8" t="s">
        <v>42</v>
      </c>
      <c r="B90" s="7" t="s">
        <v>45</v>
      </c>
      <c r="C90" s="7" t="s">
        <v>49</v>
      </c>
      <c r="D90" s="95" t="s">
        <v>54</v>
      </c>
      <c r="E90" s="205" t="s">
        <v>137</v>
      </c>
      <c r="F90" s="208" t="s">
        <v>260</v>
      </c>
      <c r="G90" s="2">
        <f t="shared" si="3"/>
        <v>0</v>
      </c>
      <c r="H90" s="32"/>
      <c r="I90" s="31"/>
      <c r="J90" s="12">
        <f>I90</f>
        <v>0</v>
      </c>
    </row>
    <row r="91" spans="1:11" ht="47.25" x14ac:dyDescent="0.25">
      <c r="A91" s="6" t="s">
        <v>43</v>
      </c>
      <c r="B91" s="38" t="s">
        <v>46</v>
      </c>
      <c r="C91" s="38" t="s">
        <v>50</v>
      </c>
      <c r="D91" s="67" t="s">
        <v>198</v>
      </c>
      <c r="E91" s="206"/>
      <c r="F91" s="209"/>
      <c r="G91" s="2">
        <f t="shared" si="3"/>
        <v>2836452</v>
      </c>
      <c r="H91" s="12">
        <f>47000+44500+60500</f>
        <v>152000</v>
      </c>
      <c r="I91" s="12">
        <f>1476000+30000+199879+207400+481006+10000+48000+175998+420000-341710-62673-9448+50000</f>
        <v>2684452</v>
      </c>
      <c r="J91" s="105">
        <f>I91</f>
        <v>2684452</v>
      </c>
      <c r="K91" s="47"/>
    </row>
    <row r="92" spans="1:11" ht="21.75" customHeight="1" x14ac:dyDescent="0.2">
      <c r="A92" s="6" t="s">
        <v>117</v>
      </c>
      <c r="B92" s="38" t="s">
        <v>118</v>
      </c>
      <c r="C92" s="38" t="s">
        <v>119</v>
      </c>
      <c r="D92" s="24" t="s">
        <v>120</v>
      </c>
      <c r="E92" s="206"/>
      <c r="F92" s="209"/>
      <c r="G92" s="2">
        <f t="shared" si="3"/>
        <v>12720456</v>
      </c>
      <c r="H92" s="13">
        <v>50000</v>
      </c>
      <c r="I92" s="12">
        <f>9167900+250000-1707559+630000+1805000+206000-40500+700000+800000+439615+420000</f>
        <v>12670456</v>
      </c>
      <c r="J92" s="12">
        <f>I92-250000-200000</f>
        <v>12220456</v>
      </c>
    </row>
    <row r="93" spans="1:11" ht="33.75" hidden="1" customHeight="1" x14ac:dyDescent="0.2">
      <c r="A93" s="7"/>
      <c r="B93" s="85"/>
      <c r="C93" s="85"/>
      <c r="D93" s="57"/>
      <c r="E93" s="206"/>
      <c r="F93" s="209"/>
      <c r="G93" s="2">
        <f t="shared" si="3"/>
        <v>0</v>
      </c>
      <c r="H93" s="13"/>
      <c r="I93" s="12"/>
      <c r="J93" s="12">
        <f>I93</f>
        <v>0</v>
      </c>
    </row>
    <row r="94" spans="1:11" ht="51.75" customHeight="1" x14ac:dyDescent="0.25">
      <c r="A94" s="8" t="s">
        <v>32</v>
      </c>
      <c r="B94" s="7" t="s">
        <v>33</v>
      </c>
      <c r="C94" s="7" t="s">
        <v>34</v>
      </c>
      <c r="D94" s="28" t="s">
        <v>24</v>
      </c>
      <c r="E94" s="206"/>
      <c r="F94" s="209"/>
      <c r="G94" s="2">
        <f t="shared" si="3"/>
        <v>392976</v>
      </c>
      <c r="H94" s="13"/>
      <c r="I94" s="12">
        <f>392976+50000-50000</f>
        <v>392976</v>
      </c>
      <c r="J94" s="12">
        <f>I94</f>
        <v>392976</v>
      </c>
    </row>
    <row r="95" spans="1:11" ht="24.75" customHeight="1" x14ac:dyDescent="0.25">
      <c r="A95" s="38" t="s">
        <v>35</v>
      </c>
      <c r="B95" s="38" t="s">
        <v>36</v>
      </c>
      <c r="C95" s="38" t="s">
        <v>34</v>
      </c>
      <c r="D95" s="65" t="s">
        <v>25</v>
      </c>
      <c r="E95" s="206"/>
      <c r="F95" s="209"/>
      <c r="G95" s="2">
        <f t="shared" si="3"/>
        <v>1030390</v>
      </c>
      <c r="H95" s="12">
        <f>199000+190000+30000+318182</f>
        <v>737182</v>
      </c>
      <c r="I95" s="12">
        <f>1000000-805000+100000-1792</f>
        <v>293208</v>
      </c>
      <c r="J95" s="12">
        <f>I95</f>
        <v>293208</v>
      </c>
    </row>
    <row r="96" spans="1:11" ht="30" customHeight="1" x14ac:dyDescent="0.25">
      <c r="A96" s="8" t="s">
        <v>154</v>
      </c>
      <c r="B96" s="7" t="s">
        <v>147</v>
      </c>
      <c r="C96" s="7" t="s">
        <v>163</v>
      </c>
      <c r="D96" s="28" t="s">
        <v>164</v>
      </c>
      <c r="E96" s="206"/>
      <c r="F96" s="209"/>
      <c r="G96" s="2">
        <f t="shared" si="3"/>
        <v>1962087</v>
      </c>
      <c r="H96" s="12">
        <f>3000000-1773510-200000+100000-140000-45000+49900</f>
        <v>991390</v>
      </c>
      <c r="I96" s="12">
        <f>317325+319474+198910+14988+120000</f>
        <v>970697</v>
      </c>
      <c r="J96" s="12">
        <f>I96</f>
        <v>970697</v>
      </c>
    </row>
    <row r="97" spans="1:10" ht="45" customHeight="1" x14ac:dyDescent="0.25">
      <c r="A97" s="8" t="s">
        <v>108</v>
      </c>
      <c r="B97" s="7" t="s">
        <v>101</v>
      </c>
      <c r="C97" s="7" t="s">
        <v>102</v>
      </c>
      <c r="D97" s="67" t="s">
        <v>103</v>
      </c>
      <c r="E97" s="206"/>
      <c r="F97" s="209"/>
      <c r="G97" s="2">
        <f t="shared" si="3"/>
        <v>18706</v>
      </c>
      <c r="H97" s="12"/>
      <c r="I97" s="12">
        <v>18706</v>
      </c>
      <c r="J97" s="12">
        <f>9436</f>
        <v>9436</v>
      </c>
    </row>
    <row r="98" spans="1:10" ht="59.25" customHeight="1" x14ac:dyDescent="0.25">
      <c r="A98" s="8" t="s">
        <v>138</v>
      </c>
      <c r="B98" s="7" t="s">
        <v>139</v>
      </c>
      <c r="C98" s="7" t="s">
        <v>46</v>
      </c>
      <c r="D98" s="28" t="s">
        <v>140</v>
      </c>
      <c r="E98" s="206"/>
      <c r="F98" s="209"/>
      <c r="G98" s="2">
        <f t="shared" si="3"/>
        <v>255000</v>
      </c>
      <c r="H98" s="12"/>
      <c r="I98" s="12">
        <f>195000+60000</f>
        <v>255000</v>
      </c>
      <c r="J98" s="12">
        <f>I98</f>
        <v>255000</v>
      </c>
    </row>
    <row r="99" spans="1:10" ht="29.25" customHeight="1" x14ac:dyDescent="0.25">
      <c r="A99" s="8" t="s">
        <v>234</v>
      </c>
      <c r="B99" s="7" t="s">
        <v>232</v>
      </c>
      <c r="C99" s="7" t="s">
        <v>53</v>
      </c>
      <c r="D99" s="95" t="s">
        <v>233</v>
      </c>
      <c r="E99" s="206"/>
      <c r="F99" s="209"/>
      <c r="G99" s="2">
        <f t="shared" si="3"/>
        <v>107320</v>
      </c>
      <c r="H99" s="12"/>
      <c r="I99" s="12">
        <f>73600+33720</f>
        <v>107320</v>
      </c>
      <c r="J99" s="105">
        <f>I99</f>
        <v>107320</v>
      </c>
    </row>
    <row r="100" spans="1:10" ht="18.75" customHeight="1" x14ac:dyDescent="0.25">
      <c r="A100" s="8" t="s">
        <v>113</v>
      </c>
      <c r="B100" s="7" t="s">
        <v>114</v>
      </c>
      <c r="C100" s="7" t="s">
        <v>53</v>
      </c>
      <c r="D100" s="67" t="s">
        <v>115</v>
      </c>
      <c r="E100" s="206"/>
      <c r="F100" s="209"/>
      <c r="G100" s="2">
        <f t="shared" si="3"/>
        <v>139817</v>
      </c>
      <c r="H100" s="13"/>
      <c r="I100" s="12">
        <f>1476000-85155-1305000+150000-24988-11040-60000</f>
        <v>139817</v>
      </c>
      <c r="J100" s="12">
        <f>I100</f>
        <v>139817</v>
      </c>
    </row>
    <row r="101" spans="1:10" ht="34.5" customHeight="1" x14ac:dyDescent="0.25">
      <c r="A101" s="8" t="s">
        <v>251</v>
      </c>
      <c r="B101" s="7" t="s">
        <v>252</v>
      </c>
      <c r="C101" s="7" t="s">
        <v>17</v>
      </c>
      <c r="D101" s="95" t="s">
        <v>253</v>
      </c>
      <c r="E101" s="206"/>
      <c r="F101" s="209"/>
      <c r="G101" s="2">
        <f t="shared" si="3"/>
        <v>1729426</v>
      </c>
      <c r="H101" s="13"/>
      <c r="I101" s="12">
        <f>1729426</f>
        <v>1729426</v>
      </c>
      <c r="J101" s="12">
        <f>I101-47360</f>
        <v>1682066</v>
      </c>
    </row>
    <row r="102" spans="1:10" ht="18.75" customHeight="1" x14ac:dyDescent="0.25">
      <c r="A102" s="8" t="s">
        <v>160</v>
      </c>
      <c r="B102" s="7" t="s">
        <v>161</v>
      </c>
      <c r="C102" s="7" t="s">
        <v>17</v>
      </c>
      <c r="D102" s="70" t="s">
        <v>162</v>
      </c>
      <c r="E102" s="206"/>
      <c r="F102" s="209"/>
      <c r="G102" s="2">
        <f t="shared" si="3"/>
        <v>738750</v>
      </c>
      <c r="H102" s="13"/>
      <c r="I102" s="12">
        <f>1862500-1123750</f>
        <v>738750</v>
      </c>
      <c r="J102" s="12">
        <f>I102</f>
        <v>738750</v>
      </c>
    </row>
    <row r="103" spans="1:10" ht="15.75" x14ac:dyDescent="0.2">
      <c r="A103" s="148" t="s">
        <v>87</v>
      </c>
      <c r="B103" s="151"/>
      <c r="C103" s="151"/>
      <c r="D103" s="152"/>
      <c r="E103" s="207"/>
      <c r="F103" s="210"/>
      <c r="G103" s="2">
        <f t="shared" si="3"/>
        <v>21931380</v>
      </c>
      <c r="H103" s="2">
        <f>H90+H91+H92+H93+H94+H95+H96+H97+H98+H99+H100+H101+H102</f>
        <v>1930572</v>
      </c>
      <c r="I103" s="2">
        <f>I90+I91+I92+I93+I94+I95+I96+I97+I98+I99+I100+I101+I102</f>
        <v>20000808</v>
      </c>
      <c r="J103" s="2">
        <f>J90+J91+J92+J93+J94+J95+J96+J97+J98+J99+J100+J101+J102</f>
        <v>19494178</v>
      </c>
    </row>
    <row r="104" spans="1:10" ht="19.5" customHeight="1" x14ac:dyDescent="0.25">
      <c r="A104" s="187" t="s">
        <v>165</v>
      </c>
      <c r="B104" s="189" t="s">
        <v>166</v>
      </c>
      <c r="C104" s="189" t="s">
        <v>167</v>
      </c>
      <c r="D104" s="28" t="s">
        <v>221</v>
      </c>
      <c r="E104" s="158" t="s">
        <v>204</v>
      </c>
      <c r="F104" s="195" t="s">
        <v>245</v>
      </c>
      <c r="G104" s="2">
        <f>H104+I104</f>
        <v>171830</v>
      </c>
      <c r="H104" s="4">
        <f>309000-32095-105075</f>
        <v>171830</v>
      </c>
      <c r="I104" s="2"/>
      <c r="J104" s="2"/>
    </row>
    <row r="105" spans="1:10" ht="19.5" customHeight="1" x14ac:dyDescent="0.25">
      <c r="A105" s="191"/>
      <c r="B105" s="193"/>
      <c r="C105" s="193"/>
      <c r="D105" s="28" t="s">
        <v>246</v>
      </c>
      <c r="E105" s="159"/>
      <c r="F105" s="196"/>
      <c r="G105" s="2">
        <f>H105+I105</f>
        <v>40500</v>
      </c>
      <c r="H105" s="4"/>
      <c r="I105" s="4">
        <v>40500</v>
      </c>
      <c r="J105" s="4">
        <f>I105</f>
        <v>40500</v>
      </c>
    </row>
    <row r="106" spans="1:10" ht="19.5" customHeight="1" x14ac:dyDescent="0.25">
      <c r="A106" s="192"/>
      <c r="B106" s="194"/>
      <c r="C106" s="194"/>
      <c r="D106" s="28" t="s">
        <v>222</v>
      </c>
      <c r="E106" s="159"/>
      <c r="F106" s="196"/>
      <c r="G106" s="2">
        <f>H106+I106</f>
        <v>43328</v>
      </c>
      <c r="H106" s="118">
        <f>53000-9672</f>
        <v>43328</v>
      </c>
      <c r="I106" s="2"/>
      <c r="J106" s="2"/>
    </row>
    <row r="107" spans="1:10" ht="15.75" x14ac:dyDescent="0.25">
      <c r="A107" s="40" t="s">
        <v>169</v>
      </c>
      <c r="B107" s="41" t="s">
        <v>170</v>
      </c>
      <c r="C107" s="41" t="s">
        <v>171</v>
      </c>
      <c r="D107" s="28" t="s">
        <v>199</v>
      </c>
      <c r="E107" s="159"/>
      <c r="F107" s="196"/>
      <c r="G107" s="2">
        <f t="shared" ref="G107:G113" si="4">H107+I107</f>
        <v>406651.12</v>
      </c>
      <c r="H107" s="4">
        <f>24000+63630-2230</f>
        <v>85400</v>
      </c>
      <c r="I107" s="4">
        <f>388642-73286+5895.12</f>
        <v>321251.12</v>
      </c>
      <c r="J107" s="4">
        <f>I107</f>
        <v>321251.12</v>
      </c>
    </row>
    <row r="108" spans="1:10" ht="31.5" x14ac:dyDescent="0.25">
      <c r="A108" s="187" t="s">
        <v>172</v>
      </c>
      <c r="B108" s="189" t="s">
        <v>166</v>
      </c>
      <c r="C108" s="189" t="s">
        <v>167</v>
      </c>
      <c r="D108" s="28" t="s">
        <v>176</v>
      </c>
      <c r="E108" s="159"/>
      <c r="F108" s="196"/>
      <c r="G108" s="2">
        <f t="shared" si="4"/>
        <v>86853</v>
      </c>
      <c r="H108" s="4">
        <f>130000-43147</f>
        <v>86853</v>
      </c>
      <c r="I108" s="2"/>
      <c r="J108" s="2"/>
    </row>
    <row r="109" spans="1:10" ht="31.5" x14ac:dyDescent="0.25">
      <c r="A109" s="188"/>
      <c r="B109" s="190"/>
      <c r="C109" s="190"/>
      <c r="D109" s="28" t="s">
        <v>177</v>
      </c>
      <c r="E109" s="159"/>
      <c r="F109" s="196"/>
      <c r="G109" s="2">
        <f t="shared" si="4"/>
        <v>41510</v>
      </c>
      <c r="H109" s="4">
        <f>47000-5490</f>
        <v>41510</v>
      </c>
      <c r="I109" s="2"/>
      <c r="J109" s="2"/>
    </row>
    <row r="110" spans="1:10" ht="31.5" x14ac:dyDescent="0.25">
      <c r="A110" s="40" t="s">
        <v>173</v>
      </c>
      <c r="B110" s="41" t="s">
        <v>166</v>
      </c>
      <c r="C110" s="41" t="s">
        <v>167</v>
      </c>
      <c r="D110" s="28" t="s">
        <v>178</v>
      </c>
      <c r="E110" s="159"/>
      <c r="F110" s="196"/>
      <c r="G110" s="2">
        <f t="shared" si="4"/>
        <v>13445</v>
      </c>
      <c r="H110" s="4">
        <f>17000+8640-12195</f>
        <v>13445</v>
      </c>
      <c r="I110" s="2"/>
      <c r="J110" s="2"/>
    </row>
    <row r="111" spans="1:10" ht="31.5" x14ac:dyDescent="0.25">
      <c r="A111" s="40" t="s">
        <v>174</v>
      </c>
      <c r="B111" s="41" t="s">
        <v>166</v>
      </c>
      <c r="C111" s="41" t="s">
        <v>167</v>
      </c>
      <c r="D111" s="28" t="s">
        <v>179</v>
      </c>
      <c r="E111" s="159"/>
      <c r="F111" s="196"/>
      <c r="G111" s="2">
        <f t="shared" si="4"/>
        <v>3000</v>
      </c>
      <c r="H111" s="4">
        <f>4000-1000</f>
        <v>3000</v>
      </c>
      <c r="I111" s="2"/>
      <c r="J111" s="2"/>
    </row>
    <row r="112" spans="1:10" ht="15.75" x14ac:dyDescent="0.25">
      <c r="A112" s="8" t="s">
        <v>175</v>
      </c>
      <c r="B112" s="7" t="s">
        <v>166</v>
      </c>
      <c r="C112" s="7" t="s">
        <v>167</v>
      </c>
      <c r="D112" s="28" t="s">
        <v>168</v>
      </c>
      <c r="E112" s="159"/>
      <c r="F112" s="196"/>
      <c r="G112" s="2">
        <f t="shared" si="4"/>
        <v>26000</v>
      </c>
      <c r="H112" s="4">
        <v>26000</v>
      </c>
      <c r="I112" s="2"/>
      <c r="J112" s="2"/>
    </row>
    <row r="113" spans="1:12" ht="15.75" x14ac:dyDescent="0.2">
      <c r="A113" s="148" t="s">
        <v>87</v>
      </c>
      <c r="B113" s="151"/>
      <c r="C113" s="151"/>
      <c r="D113" s="152"/>
      <c r="E113" s="160"/>
      <c r="F113" s="197"/>
      <c r="G113" s="2">
        <f t="shared" si="4"/>
        <v>833117.12</v>
      </c>
      <c r="H113" s="2">
        <f>H104+H105+H106+H107+H108+H109+H110+H111+H112</f>
        <v>471366</v>
      </c>
      <c r="I113" s="2">
        <f>I104+I105+I106+I107+I108+I109+I110+I111+I112</f>
        <v>361751.12</v>
      </c>
      <c r="J113" s="2">
        <f>J104+J105+J106+J107+J108+J109+J110+J111+J112</f>
        <v>361751.12</v>
      </c>
    </row>
    <row r="114" spans="1:12" ht="15.75" x14ac:dyDescent="0.2">
      <c r="A114" s="22" t="s">
        <v>6</v>
      </c>
      <c r="B114" s="22" t="s">
        <v>6</v>
      </c>
      <c r="C114" s="22" t="s">
        <v>6</v>
      </c>
      <c r="D114" s="71" t="s">
        <v>7</v>
      </c>
      <c r="E114" s="53" t="s">
        <v>6</v>
      </c>
      <c r="F114" s="53" t="s">
        <v>6</v>
      </c>
      <c r="G114" s="2">
        <f>H114+I114</f>
        <v>52176961.480000004</v>
      </c>
      <c r="H114" s="2">
        <f>H11+H29+H38+H52+H55+H61</f>
        <v>27534916</v>
      </c>
      <c r="I114" s="2">
        <f>I11+I29+I38+I52+I55+I61</f>
        <v>24642045.48</v>
      </c>
      <c r="J114" s="116">
        <f>J11+J29+J38+J52+J55+J61</f>
        <v>24135415.48</v>
      </c>
      <c r="K114" s="117">
        <f>I114-J114</f>
        <v>506630</v>
      </c>
      <c r="L114" s="110">
        <f>J114-'[1]додаток 6'!$J$59</f>
        <v>24135415.48</v>
      </c>
    </row>
    <row r="115" spans="1:12" ht="12" customHeight="1" x14ac:dyDescent="0.25">
      <c r="K115" s="114" t="s">
        <v>256</v>
      </c>
      <c r="L115" s="109" t="e">
        <f>Д6</f>
        <v>#NAME?</v>
      </c>
    </row>
    <row r="116" spans="1:12" ht="64.5" customHeight="1" x14ac:dyDescent="0.25">
      <c r="H116" s="72"/>
      <c r="I116" s="73"/>
    </row>
    <row r="117" spans="1:12" s="77" customFormat="1" ht="20.25" x14ac:dyDescent="0.3">
      <c r="A117" s="23"/>
      <c r="B117" s="23"/>
      <c r="C117" s="23"/>
      <c r="D117" s="74" t="s">
        <v>142</v>
      </c>
      <c r="E117" s="75"/>
      <c r="F117" s="75"/>
      <c r="G117" s="76" t="s">
        <v>201</v>
      </c>
      <c r="H117" s="16"/>
      <c r="I117" s="16"/>
      <c r="J117" s="16"/>
    </row>
    <row r="118" spans="1:12" x14ac:dyDescent="0.25">
      <c r="I118" s="115" t="s">
        <v>257</v>
      </c>
      <c r="J118" s="115" t="s">
        <v>258</v>
      </c>
      <c r="K118" s="78"/>
    </row>
    <row r="119" spans="1:12" ht="15.75" x14ac:dyDescent="0.25">
      <c r="G119" s="17"/>
      <c r="H119" s="17"/>
      <c r="I119" s="79"/>
      <c r="J119" s="200"/>
      <c r="K119" s="201"/>
    </row>
    <row r="120" spans="1:12" ht="15.75" x14ac:dyDescent="0.25">
      <c r="G120" s="17"/>
      <c r="H120" s="17"/>
      <c r="I120" s="18">
        <v>24176650.399999999</v>
      </c>
      <c r="J120" s="108">
        <v>23662020.399999999</v>
      </c>
      <c r="K120" s="106"/>
    </row>
    <row r="121" spans="1:12" ht="15.75" x14ac:dyDescent="0.25">
      <c r="G121" s="18"/>
      <c r="H121" s="79"/>
      <c r="I121" s="102">
        <f>I114-I120</f>
        <v>465395.08000000194</v>
      </c>
      <c r="J121" s="102">
        <f>J114-J120</f>
        <v>473395.08000000194</v>
      </c>
      <c r="K121" s="107"/>
    </row>
    <row r="122" spans="1:12" ht="15.75" x14ac:dyDescent="0.25">
      <c r="G122" s="185"/>
      <c r="H122" s="186"/>
      <c r="I122" s="80"/>
      <c r="J122" s="17"/>
    </row>
    <row r="123" spans="1:12" ht="15.75" x14ac:dyDescent="0.25">
      <c r="G123" s="18"/>
      <c r="H123" s="18"/>
      <c r="I123" s="81"/>
      <c r="J123" s="17"/>
    </row>
    <row r="124" spans="1:12" ht="15.75" x14ac:dyDescent="0.25">
      <c r="G124" s="18"/>
      <c r="H124" s="18"/>
      <c r="I124" s="17"/>
      <c r="J124" s="17"/>
    </row>
    <row r="125" spans="1:12" ht="15.75" x14ac:dyDescent="0.25">
      <c r="G125" s="17"/>
      <c r="H125" s="17"/>
      <c r="I125" s="17"/>
      <c r="J125" s="17"/>
    </row>
    <row r="127" spans="1:12" x14ac:dyDescent="0.25">
      <c r="J127" s="103"/>
    </row>
    <row r="130" spans="1:10" ht="12.75" x14ac:dyDescent="0.2">
      <c r="A130" s="10"/>
      <c r="B130" s="10"/>
      <c r="C130" s="10"/>
      <c r="D130" s="10"/>
      <c r="G130" s="10"/>
      <c r="H130" s="10"/>
      <c r="I130" s="19"/>
      <c r="J130" s="10"/>
    </row>
  </sheetData>
  <mergeCells count="82">
    <mergeCell ref="D8:D9"/>
    <mergeCell ref="A12:A15"/>
    <mergeCell ref="B12:B15"/>
    <mergeCell ref="B66:B67"/>
    <mergeCell ref="C66:C67"/>
    <mergeCell ref="A66:A67"/>
    <mergeCell ref="C12:C15"/>
    <mergeCell ref="D12:D15"/>
    <mergeCell ref="A16:D16"/>
    <mergeCell ref="D55:F55"/>
    <mergeCell ref="D57:D59"/>
    <mergeCell ref="D24:D25"/>
    <mergeCell ref="C24:C25"/>
    <mergeCell ref="B24:B25"/>
    <mergeCell ref="A24:A25"/>
    <mergeCell ref="F40:F43"/>
    <mergeCell ref="F47:F51"/>
    <mergeCell ref="E17:E18"/>
    <mergeCell ref="F17:F18"/>
    <mergeCell ref="F59:F60"/>
    <mergeCell ref="D29:F29"/>
    <mergeCell ref="E59:E60"/>
    <mergeCell ref="E20:E21"/>
    <mergeCell ref="F20:F21"/>
    <mergeCell ref="A29:C29"/>
    <mergeCell ref="C44:C48"/>
    <mergeCell ref="B44:B48"/>
    <mergeCell ref="A44:A48"/>
    <mergeCell ref="J119:K119"/>
    <mergeCell ref="A72:D72"/>
    <mergeCell ref="E73:E86"/>
    <mergeCell ref="A103:D103"/>
    <mergeCell ref="E90:E103"/>
    <mergeCell ref="F90:F103"/>
    <mergeCell ref="F73:F86"/>
    <mergeCell ref="A86:D86"/>
    <mergeCell ref="E87:E88"/>
    <mergeCell ref="F87:F88"/>
    <mergeCell ref="A57:A59"/>
    <mergeCell ref="B57:B59"/>
    <mergeCell ref="G122:H122"/>
    <mergeCell ref="E104:E113"/>
    <mergeCell ref="A108:A109"/>
    <mergeCell ref="B108:B109"/>
    <mergeCell ref="C108:C109"/>
    <mergeCell ref="A104:A106"/>
    <mergeCell ref="B104:B106"/>
    <mergeCell ref="C104:C106"/>
    <mergeCell ref="A113:D113"/>
    <mergeCell ref="F104:F113"/>
    <mergeCell ref="A89:D89"/>
    <mergeCell ref="A36:D36"/>
    <mergeCell ref="A38:C38"/>
    <mergeCell ref="D38:F38"/>
    <mergeCell ref="A43:D43"/>
    <mergeCell ref="E30:E36"/>
    <mergeCell ref="E40:E43"/>
    <mergeCell ref="F30:F36"/>
    <mergeCell ref="D44:E44"/>
    <mergeCell ref="D52:F52"/>
    <mergeCell ref="A55:C55"/>
    <mergeCell ref="A61:F61"/>
    <mergeCell ref="E64:E72"/>
    <mergeCell ref="F64:F72"/>
    <mergeCell ref="C57:C59"/>
    <mergeCell ref="E47:E51"/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4" max="9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Користувач Windows</cp:lastModifiedBy>
  <cp:lastPrinted>2020-10-08T13:18:35Z</cp:lastPrinted>
  <dcterms:created xsi:type="dcterms:W3CDTF">2018-12-04T09:08:53Z</dcterms:created>
  <dcterms:modified xsi:type="dcterms:W3CDTF">2020-11-25T13:47:27Z</dcterms:modified>
</cp:coreProperties>
</file>