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есії 2020\92 сесія чергова\"/>
    </mc:Choice>
  </mc:AlternateContent>
  <xr:revisionPtr revIDLastSave="0" documentId="8_{09B6DCA3-0A8B-4D94-B955-40ED5AF5199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додаток 7 (2)" sheetId="11" r:id="rId1"/>
  </sheets>
  <externalReferences>
    <externalReference r:id="rId2"/>
  </externalReferences>
  <definedNames>
    <definedName name="_xlnm.Print_Area" localSheetId="0">'додаток 7 (2)'!$A$1:$J$116</definedName>
  </definedNames>
  <calcPr calcId="191029"/>
</workbook>
</file>

<file path=xl/calcChain.xml><?xml version="1.0" encoding="utf-8"?>
<calcChain xmlns="http://schemas.openxmlformats.org/spreadsheetml/2006/main">
  <c r="H70" i="11" l="1"/>
  <c r="H94" i="11"/>
  <c r="I100" i="11"/>
  <c r="G100" i="11" s="1"/>
  <c r="I101" i="11"/>
  <c r="J101" i="11" s="1"/>
  <c r="I99" i="11"/>
  <c r="H56" i="11"/>
  <c r="J51" i="11"/>
  <c r="G51" i="11"/>
  <c r="I90" i="11"/>
  <c r="I31" i="11"/>
  <c r="H90" i="11"/>
  <c r="I30" i="11"/>
  <c r="H87" i="11"/>
  <c r="H28" i="11"/>
  <c r="H27" i="11"/>
  <c r="H95" i="11"/>
  <c r="H102" i="11" s="1"/>
  <c r="I94" i="11"/>
  <c r="I69" i="11"/>
  <c r="H68" i="11"/>
  <c r="H66" i="11"/>
  <c r="H17" i="11"/>
  <c r="J91" i="11"/>
  <c r="I91" i="11"/>
  <c r="H64" i="11"/>
  <c r="I14" i="11"/>
  <c r="H14" i="11"/>
  <c r="J100" i="11" l="1"/>
  <c r="J106" i="11"/>
  <c r="J112" i="11" s="1"/>
  <c r="I106" i="11"/>
  <c r="I112" i="11"/>
  <c r="I55" i="11"/>
  <c r="J55" i="11"/>
  <c r="I52" i="11"/>
  <c r="J52" i="11"/>
  <c r="J66" i="11"/>
  <c r="J104" i="11"/>
  <c r="G104" i="11"/>
  <c r="H47" i="11" l="1"/>
  <c r="H37" i="11"/>
  <c r="I22" i="11"/>
  <c r="H106" i="11"/>
  <c r="J69" i="11"/>
  <c r="H18" i="11"/>
  <c r="H69" i="11"/>
  <c r="H110" i="11" l="1"/>
  <c r="H109" i="11"/>
  <c r="H108" i="11"/>
  <c r="H107" i="11"/>
  <c r="H105" i="11"/>
  <c r="H103" i="11"/>
  <c r="I93" i="11"/>
  <c r="I98" i="11"/>
  <c r="J31" i="11"/>
  <c r="G68" i="11"/>
  <c r="H36" i="11"/>
  <c r="H29" i="11" s="1"/>
  <c r="J32" i="11"/>
  <c r="J33" i="11"/>
  <c r="J34" i="11"/>
  <c r="J35" i="11"/>
  <c r="G34" i="11"/>
  <c r="G35" i="11"/>
  <c r="J89" i="11"/>
  <c r="G89" i="11"/>
  <c r="I36" i="11"/>
  <c r="I29" i="11" s="1"/>
  <c r="I95" i="11"/>
  <c r="J95" i="11" s="1"/>
  <c r="J22" i="11"/>
  <c r="H52" i="11"/>
  <c r="G53" i="11"/>
  <c r="H58" i="11"/>
  <c r="H22" i="11"/>
  <c r="H21" i="11"/>
  <c r="G66" i="11"/>
  <c r="J94" i="11"/>
  <c r="L114" i="11"/>
  <c r="J98" i="11"/>
  <c r="H67" i="11"/>
  <c r="G67" i="11" s="1"/>
  <c r="G37" i="11"/>
  <c r="I97" i="11"/>
  <c r="J97" i="11" s="1"/>
  <c r="I21" i="11"/>
  <c r="J92" i="11"/>
  <c r="G92" i="11"/>
  <c r="G39" i="11"/>
  <c r="H46" i="11"/>
  <c r="H50" i="11"/>
  <c r="H43" i="11"/>
  <c r="H26" i="11"/>
  <c r="H25" i="11"/>
  <c r="G25" i="11" s="1"/>
  <c r="I88" i="11"/>
  <c r="J88" i="11"/>
  <c r="H88" i="11"/>
  <c r="J21" i="11"/>
  <c r="G105" i="11"/>
  <c r="G94" i="11"/>
  <c r="I72" i="11"/>
  <c r="J72" i="11"/>
  <c r="G97" i="11"/>
  <c r="J14" i="11"/>
  <c r="H44" i="11"/>
  <c r="H86" i="11"/>
  <c r="J96" i="11"/>
  <c r="G96" i="11"/>
  <c r="G93" i="11"/>
  <c r="H112" i="11" l="1"/>
  <c r="H38" i="11"/>
  <c r="J93" i="11"/>
  <c r="I102" i="11"/>
  <c r="G98" i="11"/>
  <c r="G31" i="11"/>
  <c r="H72" i="11"/>
  <c r="H61" i="11" s="1"/>
  <c r="H55" i="11"/>
  <c r="G21" i="11"/>
  <c r="G99" i="11"/>
  <c r="H15" i="11"/>
  <c r="H11" i="11" s="1"/>
  <c r="G26" i="11"/>
  <c r="G48" i="11"/>
  <c r="I86" i="11"/>
  <c r="J86" i="11"/>
  <c r="G106" i="11"/>
  <c r="G107" i="11"/>
  <c r="G108" i="11"/>
  <c r="G109" i="11"/>
  <c r="G110" i="11"/>
  <c r="G111" i="11"/>
  <c r="G103" i="11"/>
  <c r="J30" i="11"/>
  <c r="G101" i="11"/>
  <c r="G87" i="11"/>
  <c r="G88" i="11" s="1"/>
  <c r="G49" i="11"/>
  <c r="I43" i="11"/>
  <c r="J43" i="11"/>
  <c r="G43" i="11"/>
  <c r="I15" i="11"/>
  <c r="I11" i="11" s="1"/>
  <c r="J15" i="11"/>
  <c r="J11" i="11" s="1"/>
  <c r="G23" i="11"/>
  <c r="G18" i="11"/>
  <c r="G17" i="11"/>
  <c r="G16" i="11"/>
  <c r="G78" i="11"/>
  <c r="G79" i="11"/>
  <c r="G81" i="11"/>
  <c r="G82" i="11"/>
  <c r="G83" i="11"/>
  <c r="J99" i="11"/>
  <c r="J90" i="11"/>
  <c r="J102" i="11" s="1"/>
  <c r="G40" i="11"/>
  <c r="G12" i="11"/>
  <c r="G13" i="11"/>
  <c r="G14" i="11"/>
  <c r="G19" i="11"/>
  <c r="G20" i="11"/>
  <c r="G22" i="11"/>
  <c r="G27" i="11"/>
  <c r="G28" i="11"/>
  <c r="G33" i="11"/>
  <c r="G41" i="11"/>
  <c r="G42" i="11"/>
  <c r="G45" i="11"/>
  <c r="G46" i="11"/>
  <c r="G47" i="11"/>
  <c r="G50" i="11"/>
  <c r="G54" i="11"/>
  <c r="G56" i="11"/>
  <c r="G57" i="11"/>
  <c r="G58" i="11"/>
  <c r="G59" i="11"/>
  <c r="G60" i="11"/>
  <c r="G64" i="11"/>
  <c r="G65" i="11"/>
  <c r="G69" i="11"/>
  <c r="G71" i="11"/>
  <c r="G73" i="11"/>
  <c r="G74" i="11"/>
  <c r="G75" i="11"/>
  <c r="G76" i="11"/>
  <c r="G77" i="11"/>
  <c r="G80" i="11"/>
  <c r="G84" i="11"/>
  <c r="G85" i="11"/>
  <c r="G90" i="11"/>
  <c r="G95" i="11"/>
  <c r="I44" i="11"/>
  <c r="J44" i="11"/>
  <c r="J38" i="11" l="1"/>
  <c r="I38" i="11"/>
  <c r="J36" i="11"/>
  <c r="J29" i="11" s="1"/>
  <c r="G112" i="11"/>
  <c r="I61" i="11"/>
  <c r="I113" i="11" s="1"/>
  <c r="G70" i="11"/>
  <c r="G72" i="11"/>
  <c r="G30" i="11"/>
  <c r="G91" i="11"/>
  <c r="G44" i="11"/>
  <c r="G52" i="11"/>
  <c r="G86" i="11"/>
  <c r="I120" i="11" l="1"/>
  <c r="J61" i="11"/>
  <c r="G102" i="11"/>
  <c r="G11" i="11"/>
  <c r="G15" i="11"/>
  <c r="G29" i="11"/>
  <c r="G36" i="11"/>
  <c r="G55" i="11"/>
  <c r="G38" i="11"/>
  <c r="J113" i="11" l="1"/>
  <c r="J120" i="11" s="1"/>
  <c r="G61" i="11"/>
  <c r="H113" i="11"/>
  <c r="G113" i="11" l="1"/>
  <c r="H120" i="11"/>
  <c r="K113" i="11"/>
  <c r="L113" i="11"/>
</calcChain>
</file>

<file path=xl/sharedStrings.xml><?xml version="1.0" encoding="utf-8"?>
<sst xmlns="http://schemas.openxmlformats.org/spreadsheetml/2006/main" count="393" uniqueCount="267">
  <si>
    <t>(грн)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</si>
  <si>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</si>
  <si>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</si>
  <si>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</si>
  <si>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</si>
  <si>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</si>
  <si>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Х</t>
  </si>
  <si>
    <t>УСЬОГО</t>
  </si>
  <si>
    <t>Додаток 7</t>
  </si>
  <si>
    <t>02</t>
  </si>
  <si>
    <t>Виконавчий комітет Березанської міської ради</t>
  </si>
  <si>
    <t>Підтримка сімї та забезпечення прав дітей "Назустріч дітям" до 2020 року</t>
  </si>
  <si>
    <t>Програма профілактики та протидії злочинності в місті Березань на 2018-2020 роки " Безпечне місто"</t>
  </si>
  <si>
    <t xml:space="preserve">Програма поводження з твердими побутовими відходами в м.Березань на 2017-2020 роки (ліквідація стихійних сміттєзвалищ) </t>
  </si>
  <si>
    <t>Програма цивільного захисту населення і територій від надзвичайних ситуацій техногенного та природного характеру, забезпечення пожежної безпеки в м.Березань на 2018-2020 роки</t>
  </si>
  <si>
    <t>Інша діяльність у сфері державного управління</t>
  </si>
  <si>
    <t>0210180</t>
  </si>
  <si>
    <t>0180</t>
  </si>
  <si>
    <t>0133</t>
  </si>
  <si>
    <t>№ 349-36-VII від 13.07.2017</t>
  </si>
  <si>
    <t>від 03.08.2018 №546-51-VII</t>
  </si>
  <si>
    <t>№ 499-47-VII від 26.04.2018</t>
  </si>
  <si>
    <t>Заходи державної політики з питань дітей та їх соціального захисту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</si>
  <si>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</si>
  <si>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</si>
  <si>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Організація благоустрою населених пунктів</t>
  </si>
  <si>
    <t>Заходи із запобігання та ліквідації надзвичайних ситуацій та наслідків стихійного лиха</t>
  </si>
  <si>
    <t>0213112</t>
  </si>
  <si>
    <t>3112</t>
  </si>
  <si>
    <t>1040</t>
  </si>
  <si>
    <t>0213140</t>
  </si>
  <si>
    <t>3140</t>
  </si>
  <si>
    <t>0216020</t>
  </si>
  <si>
    <t>6020</t>
  </si>
  <si>
    <t>0620</t>
  </si>
  <si>
    <t>0216030</t>
  </si>
  <si>
    <t>6030</t>
  </si>
  <si>
    <t>0218110</t>
  </si>
  <si>
    <t>8110</t>
  </si>
  <si>
    <t>0320</t>
  </si>
  <si>
    <t>Відділ освіти виконавчого комітету Березанської міської ради</t>
  </si>
  <si>
    <t>06</t>
  </si>
  <si>
    <t>0611010</t>
  </si>
  <si>
    <t>0611020</t>
  </si>
  <si>
    <t>0611162</t>
  </si>
  <si>
    <t>1010</t>
  </si>
  <si>
    <t>1020</t>
  </si>
  <si>
    <t>1090</t>
  </si>
  <si>
    <t>1162</t>
  </si>
  <si>
    <t>0910</t>
  </si>
  <si>
    <t>0921</t>
  </si>
  <si>
    <t>0960</t>
  </si>
  <si>
    <t>0990</t>
  </si>
  <si>
    <t>0810</t>
  </si>
  <si>
    <t>Надання дошкільної освіти</t>
  </si>
  <si>
    <t>Інші програми та заходи у сфері освіти</t>
  </si>
  <si>
    <t>08</t>
  </si>
  <si>
    <t>Управління соціального захисту населення та праці виконавчого комітету Березанської міської ради</t>
  </si>
  <si>
    <t>0813242</t>
  </si>
  <si>
    <t>0813192</t>
  </si>
  <si>
    <t>3242</t>
  </si>
  <si>
    <t>3192</t>
  </si>
  <si>
    <t>1030</t>
  </si>
  <si>
    <t>Інші заходи у сфері соціального захисту і соціального забезпечення</t>
  </si>
  <si>
    <t>Допомога зі скрутним становищем</t>
  </si>
  <si>
    <t>Програма соціального захисту учасників АТО та членів їх сімей м.Березань на 2017-2020 роки</t>
  </si>
  <si>
    <t>Допомога військовослужбовцям</t>
  </si>
  <si>
    <t>Матеріальна допомога</t>
  </si>
  <si>
    <t>Програма "Турбота" на 2016-2020 роки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</si>
  <si>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</si>
  <si>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№ 495-47-VII від 26.04.2018</t>
  </si>
  <si>
    <t>11</t>
  </si>
  <si>
    <t>Сектор молоді та спорту виконавчого комітету Березанської міської ради</t>
  </si>
  <si>
    <t>1113133</t>
  </si>
  <si>
    <t>1115011</t>
  </si>
  <si>
    <t>1115012</t>
  </si>
  <si>
    <t>3133</t>
  </si>
  <si>
    <t>5011</t>
  </si>
  <si>
    <t>5012</t>
  </si>
  <si>
    <t>Інші заходи та заклади молодіжної політики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</si>
  <si>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</si>
  <si>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</si>
  <si>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Програма національно-патріотичного виховання та допризовної підготовки, підготовки молоді до служби в Збройних Силах України в м.Березань на 2018-2021 роки</t>
  </si>
  <si>
    <t>Програма підтримки та розвитку молоді на 2015-2020 роки "Молодь Березані"</t>
  </si>
  <si>
    <t>Програма розвитку фізичної культури та спорту "Березань спортивна" на 2017-2021 роки</t>
  </si>
  <si>
    <t xml:space="preserve">№ 470-46-VII від 20.02.2018  </t>
  </si>
  <si>
    <t>№ 500-47-VII від 26.04.2018</t>
  </si>
  <si>
    <t xml:space="preserve">Комплексні програми </t>
  </si>
  <si>
    <t>Всього по програмі</t>
  </si>
  <si>
    <t>№ 469-52-VI від 29.06.2015</t>
  </si>
  <si>
    <t xml:space="preserve">до рішення Березанської міської ради                      </t>
  </si>
  <si>
    <t>0813033</t>
  </si>
  <si>
    <t>3033</t>
  </si>
  <si>
    <t>1070</t>
  </si>
  <si>
    <t>Компенсаційні виплати на пільговий проїзд автомобільним транспортом окремим категоріям громадян</t>
  </si>
  <si>
    <t>0813032</t>
  </si>
  <si>
    <t>3032</t>
  </si>
  <si>
    <t>Надання пільг окремим категоріям громадян з оплати послуг зв'язку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</si>
  <si>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</si>
  <si>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</si>
  <si>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</si>
  <si>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</si>
  <si>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</si>
  <si>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</si>
  <si>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</si>
  <si>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0218410</t>
  </si>
  <si>
    <t>8410</t>
  </si>
  <si>
    <t>0830</t>
  </si>
  <si>
    <t>Фінансова підтримка засобів масової інформації</t>
  </si>
  <si>
    <t>0810160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</si>
  <si>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</si>
  <si>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</si>
  <si>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</si>
  <si>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</si>
  <si>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1115041</t>
  </si>
  <si>
    <t>5041</t>
  </si>
  <si>
    <t>Утримання та фінансова підтримка спортивних споруд</t>
  </si>
  <si>
    <t>3710160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</si>
  <si>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</si>
  <si>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</si>
  <si>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</si>
  <si>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</si>
  <si>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</si>
  <si>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</si>
  <si>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</si>
  <si>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</si>
  <si>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7640</t>
  </si>
  <si>
    <t>0470</t>
  </si>
  <si>
    <t>Заходи з енергозбереження</t>
  </si>
  <si>
    <t>1014020</t>
  </si>
  <si>
    <t>4020</t>
  </si>
  <si>
    <t>0822</t>
  </si>
  <si>
    <t>Фінансова підтримка фiлармонiй, художніх і музичних колективів, ансамблів, концертних та циркових організацій</t>
  </si>
  <si>
    <t>8230</t>
  </si>
  <si>
    <t>0218230</t>
  </si>
  <si>
    <t>0380</t>
  </si>
  <si>
    <t>Інші заходи громадського порядку та безпеки</t>
  </si>
  <si>
    <t>Програма розвитку футболу в м. Березань на 2018-2022 роки</t>
  </si>
  <si>
    <t>Програма фінансової підтримки комунальних підприємств м.Березань на 2017-2020 роки</t>
  </si>
  <si>
    <t>1100</t>
  </si>
  <si>
    <t>1011100</t>
  </si>
  <si>
    <t>Програма будівництва, реконструкції та ремонту об`єктів інфраструктури м.Березань на 2017-2020 роки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</si>
  <si>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</si>
  <si>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</si>
  <si>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</si>
  <si>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0217640</t>
  </si>
  <si>
    <t>Секретар ради</t>
  </si>
  <si>
    <t>Код Функціональної класифікації видатків та кредитування бюджету</t>
  </si>
  <si>
    <r>
      <t xml:space="preserve">Програма з відзначення державних та професійних свят, ювілейних дат, заохочення за заслуги перед містом Березань, </t>
    </r>
    <r>
      <rPr>
        <i/>
        <u/>
        <sz val="11"/>
        <rFont val="Times New Roman"/>
        <family val="1"/>
        <charset val="204"/>
      </rPr>
      <t xml:space="preserve">здійснення представницьких </t>
    </r>
    <r>
      <rPr>
        <sz val="11"/>
        <rFont val="Times New Roman"/>
        <family val="1"/>
        <charset val="204"/>
      </rPr>
      <t xml:space="preserve">та інших заходів на 2017-2021роки </t>
    </r>
  </si>
  <si>
    <t>№ 886-78-VII від 07.11.2019</t>
  </si>
  <si>
    <t>Розподіл витрат місцевого бюджету на реалізацію місцевих/регіональних програм у 2020 році</t>
  </si>
  <si>
    <t>7442</t>
  </si>
  <si>
    <t>3031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</si>
  <si>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</si>
  <si>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</si>
  <si>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</si>
  <si>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</si>
  <si>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0813031</t>
  </si>
  <si>
    <t>0217442</t>
  </si>
  <si>
    <t>01216030</t>
  </si>
  <si>
    <t>Програма з організації громадських та інших робіт тимчасового характеру на 2019-2020 роки у територіальній громаді міста обласного значення Березань</t>
  </si>
  <si>
    <t>від 21.12.2018 №620-57-VII</t>
  </si>
  <si>
    <t>Надання інших пільг окремим категоріям громадян відповідно до законодавства</t>
  </si>
  <si>
    <t>Інші заходи та заклади молодіжної політики (військомат)</t>
  </si>
  <si>
    <t>3719770</t>
  </si>
  <si>
    <t>9770</t>
  </si>
  <si>
    <t xml:space="preserve">Інші субвенції з місцевого бюджету </t>
  </si>
  <si>
    <t>0456</t>
  </si>
  <si>
    <t>Утримання та розвиток інших об’єктів транспортної інфраструктури</t>
  </si>
  <si>
    <t>0217520</t>
  </si>
  <si>
    <t>7520</t>
  </si>
  <si>
    <t>0460</t>
  </si>
  <si>
    <t>Реалізація Національної програми інформатизації</t>
  </si>
  <si>
    <t>0617521</t>
  </si>
  <si>
    <t>7521</t>
  </si>
  <si>
    <t>0461</t>
  </si>
  <si>
    <t>0817520</t>
  </si>
  <si>
    <t>1017520</t>
  </si>
  <si>
    <t>1117520</t>
  </si>
  <si>
    <t>3717520</t>
  </si>
  <si>
    <t>Реалізація Національної програми інформатизації по УСЗНП (0160)</t>
  </si>
  <si>
    <t>Реалізація Національної програми інформатизації по терцентру (3104)</t>
  </si>
  <si>
    <t>Реалізація Національної програми інформатизації по керівництву (0160)</t>
  </si>
  <si>
    <t>Реалізація Національної програми інформатизації по заходах та закладаї молодіжної політики ( 3133)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</si>
  <si>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</si>
  <si>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</si>
  <si>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</si>
  <si>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№ 910-80-VII від 28.11.2019</t>
  </si>
  <si>
    <t>№ 914-80-VII від 28.11.2019</t>
  </si>
  <si>
    <t>Довічна стипендія</t>
  </si>
  <si>
    <t>Програма «Членські внески» на 2020 рік</t>
  </si>
  <si>
    <t>0217680</t>
  </si>
  <si>
    <t>7680</t>
  </si>
  <si>
    <t>0490</t>
  </si>
  <si>
    <t>Членські внески до асоціацій органів місцевого самоврядування</t>
  </si>
  <si>
    <t>Програма організації допомоги діяльності Березанському відділенню поліції Переяслав-Хмельницького  відділу поліції  Головного управління Національної поліції в Київській області в забезпеченні охорони публічного порядку, безпеки громадян, профілактики злочинності на території міста на 2019 - 2021роки</t>
  </si>
  <si>
    <t>Програма  "Висвітлення діяльності Березанської міської ради та її виконавчого комітету в ЗМІ на 2020"</t>
  </si>
  <si>
    <t>Програма Здоров`я на 2019 - 2020 роки</t>
  </si>
  <si>
    <t>Програма розвитку системи освіти міста Березань на 2018-2020 роки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</si>
  <si>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</si>
  <si>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</si>
  <si>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</si>
  <si>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</si>
  <si>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 xml:space="preserve">Реалізація Національної програми інформатизації </t>
  </si>
  <si>
    <t>Надання спеціальної освіти мистецькими школами</t>
  </si>
  <si>
    <t>Олег СИВАК</t>
  </si>
  <si>
    <t>Найменування місцевої / регіональної програми</t>
  </si>
  <si>
    <t>Дата І номер документа, яким затверджено (внесено зміни) місцеву регіональну програму</t>
  </si>
  <si>
    <t>Програма інформатизації виконавчого комітету Березанської міської ради на 2019 - 2022 роки</t>
  </si>
  <si>
    <t>(код бюджету)</t>
  </si>
  <si>
    <t>"Про бюджет Березанської міської об’єднаної територіальної громади на 2020 рік"</t>
  </si>
  <si>
    <t>Програма підвищення енегроефективності та зменшення споживання енергоносіїв м.Березань на 2017-2020 роки</t>
  </si>
  <si>
    <t>Програма "Централізовані заходи з лікування хворих на цукровий діабет" на 2020 рік</t>
  </si>
  <si>
    <t>6013</t>
  </si>
  <si>
    <t xml:space="preserve">«Питна вода міста Березань на 2018-2020 роки» </t>
  </si>
  <si>
    <t>0216013</t>
  </si>
  <si>
    <t>Забезпечення діяльності водопровідно-каналізаційного господарства</t>
  </si>
  <si>
    <t>Програма фінансування пільг з послуг звязку та інших передбачених законодавством пільг окремим категоріям громадян на 2020-2022 роки</t>
  </si>
  <si>
    <t>№ 947-82-VII від 24.12.2019</t>
  </si>
  <si>
    <t>Програма фінансування пільгового проїзду автомобільним транспортом загального користування на 2020-2022 роки</t>
  </si>
  <si>
    <t>№ 948-82-VII від 24.12.2019</t>
  </si>
  <si>
    <t>№ 959-82-VII від 24.12.2019</t>
  </si>
  <si>
    <t>№ 946-82-VII від 24.12.2019</t>
  </si>
  <si>
    <t>Забезпечення діяльності водопровідно-каналізаційного господарства Березань</t>
  </si>
  <si>
    <t>Забезпечення діяльності водопровідно-каналізаційного господарства Лехнівка</t>
  </si>
  <si>
    <t>Реалізація Національної програми інформатизації 0160</t>
  </si>
  <si>
    <t>Реалізація Національної програми інформатизації 6020</t>
  </si>
  <si>
    <t>№ 981-84-VII від 04.02.2020</t>
  </si>
  <si>
    <t>№ 972-84-VII від 04.02.2020</t>
  </si>
  <si>
    <t>«Програма проведення заходів та робіт з територіальної оборони та мобілізаційної підготовки місцевого значення Березанського міського військового комісаріату на 2020 рік»</t>
  </si>
  <si>
    <t>«Програма проведення заходів та робіт з територіальної оборони та мобілізаційної підготовки місцевого значення 5-ої стрілецької роти другого батальйону військової частини 3066 Національної гвардії України на 2020 рік»</t>
  </si>
  <si>
    <t>Програма з національно - патріотичного виховання та допризовної підготовки, підготовки молоді до служби в Збройних Силах України в м.Березань на 2018 - 2021 роки</t>
  </si>
  <si>
    <t>№ 997-86-VII від 05.03.2020</t>
  </si>
  <si>
    <t>№ 1002-86-VII від 05.03.2020</t>
  </si>
  <si>
    <t>"Шкільний автобус на 2020 рік"</t>
  </si>
  <si>
    <t>№ 1000-86-VII від 04.02.2020</t>
  </si>
  <si>
    <t>5031</t>
  </si>
  <si>
    <t>Утримання та навчально-тренувальна робота комунальних дитячо-юнацьких спортивних шкіл</t>
  </si>
  <si>
    <t>0615031</t>
  </si>
  <si>
    <t>0216017</t>
  </si>
  <si>
    <t>6017</t>
  </si>
  <si>
    <t xml:space="preserve">Інша діяльність, пов’язана з експлуатацією об’єктів житлово-комунального господарства </t>
  </si>
  <si>
    <t>Програма розвитку галузі культури і туризму в м.Березань на 2017-2020 роки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</si>
  <si>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</si>
  <si>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№ 294-30-VII від 03.03.2017</t>
  </si>
  <si>
    <t>Управління культури, національностей та релігій виконавчого комітету Березанської міської ради</t>
  </si>
  <si>
    <t xml:space="preserve">Програма з відзначення державних свят пам"ятних дат та заходів обласного і міського значення  на 2020 рік </t>
  </si>
  <si>
    <t>№ 1029-88-VII від 19.05.2020</t>
  </si>
  <si>
    <t>№ 1001-86-VII від 05.03.2019</t>
  </si>
  <si>
    <t>№ 1067-89-VII від 25.06.2020</t>
  </si>
  <si>
    <t>Реалізація Національної програми інформатизації 2010</t>
  </si>
  <si>
    <t>№ 1070-90-VII від 07.07.2020</t>
  </si>
  <si>
    <t>0813221</t>
  </si>
  <si>
    <t>3221</t>
  </si>
  <si>
    <t>1060</t>
  </si>
  <si>
    <t>Грошова компенсація за належні для отримання жилі приміщення для сімей осіб, визначених абзацами 5 - 8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</si>
  <si>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3719750</t>
  </si>
  <si>
    <t>9750</t>
  </si>
  <si>
    <t>Субвенції з місцевого бюджету на співфінансування інвестиційних проектів</t>
  </si>
  <si>
    <t>від 06.08.2020 № 1078-92-VII</t>
  </si>
  <si>
    <t>№ 1080-92-VII від 06.08.2020</t>
  </si>
  <si>
    <t>№ 1084-92-VII від 06.08.2020</t>
  </si>
  <si>
    <t>№ 1093-92-VII від 06.08.2020</t>
  </si>
  <si>
    <t>№ 1094-92-VII від 06.08.2020</t>
  </si>
  <si>
    <t>Д - 6.1</t>
  </si>
  <si>
    <t>Д 3 + Д 6.1</t>
  </si>
  <si>
    <t>Д  3 + 6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</si>
</sst>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₴_-;\-* #,##0.00\ _₴_-;_-* &quot;-&quot;??\ _₴_-;_-@_-"/>
    <numFmt numFmtId="165" formatCode="_-* #,##0.00\ _г_р_н_._-;\-* #,##0.00\ _г_р_н_._-;_-* &quot;-&quot;??\ _г_р_н_._-;_-@_-"/>
    <numFmt numFmtId="166" formatCode="#,##0.0"/>
    <numFmt numFmtId="167" formatCode="_-* #,##0\ _₴_-;\-* #,##0\ _₴_-;_-* &quot;-&quot;??\ _₴_-;_-@_-"/>
    <numFmt numFmtId="168" formatCode="0.00_ ;\-0.00\ "/>
  </numFmts>
  <fonts count="37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u/>
      <sz val="11"/>
      <name val="Times New Roman"/>
      <family val="1"/>
      <charset val="204"/>
    </font>
    <font>
      <u/>
      <sz val="11"/>
      <name val="Arial Cyr"/>
      <charset val="204"/>
    </font>
    <font>
      <sz val="11"/>
      <color rgb="FFFF000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FFFF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6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8" fillId="0" borderId="0">
      <alignment vertical="top"/>
    </xf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7" fillId="3" borderId="0" applyNumberFormat="0" applyBorder="0" applyAlignment="0" applyProtection="0"/>
  </cellStyleXfs>
  <cellXfs count="227">
    <xf numFmtId="0" fontId="0" fillId="0" borderId="0" xfId="0"/>
    <xf numFmtId="0" fontId="19" fillId="0" borderId="0" xfId="0" applyFont="1" applyFill="1" applyAlignment="1">
      <alignment horizontal="center" vertical="center"/>
    </xf>
    <xf numFmtId="166" fontId="24" fillId="0" borderId="10" xfId="0" applyNumberFormat="1" applyFont="1" applyFill="1" applyBorder="1" applyAlignment="1">
      <alignment horizontal="center" vertical="center" wrapText="1"/>
    </xf>
    <xf numFmtId="166" fontId="20" fillId="0" borderId="10" xfId="14" applyNumberFormat="1" applyFont="1" applyFill="1" applyBorder="1" applyAlignment="1">
      <alignment horizontal="left" vertical="center" wrapText="1"/>
    </xf>
    <xf numFmtId="166" fontId="23" fillId="0" borderId="10" xfId="0" applyNumberFormat="1" applyFont="1" applyFill="1" applyBorder="1" applyAlignment="1">
      <alignment horizontal="center" vertical="center" wrapText="1"/>
    </xf>
    <xf numFmtId="166" fontId="26" fillId="0" borderId="10" xfId="14" applyNumberFormat="1" applyFont="1" applyFill="1" applyBorder="1" applyAlignment="1">
      <alignment horizontal="left" vertical="center" wrapText="1"/>
    </xf>
    <xf numFmtId="49" fontId="20" fillId="0" borderId="10" xfId="0" applyNumberFormat="1" applyFont="1" applyFill="1" applyBorder="1" applyAlignment="1">
      <alignment vertical="center"/>
    </xf>
    <xf numFmtId="49" fontId="23" fillId="0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vertical="center"/>
    </xf>
    <xf numFmtId="0" fontId="20" fillId="0" borderId="10" xfId="0" applyNumberFormat="1" applyFont="1" applyFill="1" applyBorder="1" applyAlignment="1">
      <alignment vertical="center" wrapText="1"/>
    </xf>
    <xf numFmtId="0" fontId="19" fillId="0" borderId="0" xfId="0" applyFont="1" applyFill="1"/>
    <xf numFmtId="49" fontId="20" fillId="0" borderId="10" xfId="0" applyNumberFormat="1" applyFont="1" applyFill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center" vertical="center" wrapText="1"/>
    </xf>
    <xf numFmtId="166" fontId="26" fillId="0" borderId="10" xfId="0" applyNumberFormat="1" applyFont="1" applyFill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vertical="center" wrapText="1"/>
    </xf>
    <xf numFmtId="49" fontId="23" fillId="0" borderId="11" xfId="0" applyNumberFormat="1" applyFont="1" applyFill="1" applyBorder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4" fontId="19" fillId="0" borderId="0" xfId="0" applyNumberFormat="1" applyFont="1" applyFill="1" applyAlignment="1">
      <alignment horizontal="center" vertical="center"/>
    </xf>
    <xf numFmtId="49" fontId="19" fillId="0" borderId="0" xfId="0" applyNumberFormat="1" applyFont="1" applyFill="1"/>
    <xf numFmtId="49" fontId="19" fillId="0" borderId="0" xfId="0" applyNumberFormat="1" applyFont="1" applyFill="1" applyAlignment="1">
      <alignment horizontal="right"/>
    </xf>
    <xf numFmtId="49" fontId="23" fillId="0" borderId="10" xfId="0" applyNumberFormat="1" applyFont="1" applyFill="1" applyBorder="1" applyAlignment="1">
      <alignment horizontal="center" vertical="top" wrapText="1"/>
    </xf>
    <xf numFmtId="49" fontId="27" fillId="0" borderId="0" xfId="0" applyNumberFormat="1" applyFont="1" applyFill="1"/>
    <xf numFmtId="0" fontId="20" fillId="0" borderId="10" xfId="0" quotePrefix="1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wrapText="1"/>
    </xf>
    <xf numFmtId="0" fontId="23" fillId="0" borderId="10" xfId="0" applyFont="1" applyFill="1" applyBorder="1" applyAlignment="1">
      <alignment horizontal="justify" wrapText="1"/>
    </xf>
    <xf numFmtId="0" fontId="30" fillId="0" borderId="10" xfId="0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horizontal="justify" vertical="center" wrapText="1"/>
    </xf>
    <xf numFmtId="166" fontId="23" fillId="0" borderId="12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/>
    </xf>
    <xf numFmtId="49" fontId="20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49" fontId="23" fillId="0" borderId="12" xfId="0" applyNumberFormat="1" applyFont="1" applyFill="1" applyBorder="1" applyAlignment="1">
      <alignment vertical="center"/>
    </xf>
    <xf numFmtId="49" fontId="23" fillId="0" borderId="12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 wrapText="1"/>
    </xf>
    <xf numFmtId="49" fontId="20" fillId="0" borderId="10" xfId="0" applyNumberFormat="1" applyFont="1" applyFill="1" applyBorder="1" applyAlignment="1">
      <alignment horizontal="center" vertical="center"/>
    </xf>
    <xf numFmtId="0" fontId="20" fillId="0" borderId="0" xfId="0" applyFont="1" applyFill="1"/>
    <xf numFmtId="166" fontId="19" fillId="0" borderId="0" xfId="0" applyNumberFormat="1" applyFont="1" applyFill="1"/>
    <xf numFmtId="0" fontId="21" fillId="0" borderId="0" xfId="0" applyFont="1" applyFill="1" applyAlignment="1"/>
    <xf numFmtId="0" fontId="21" fillId="0" borderId="0" xfId="0" applyFont="1" applyFill="1" applyAlignment="1">
      <alignment horizontal="right"/>
    </xf>
    <xf numFmtId="0" fontId="19" fillId="0" borderId="0" xfId="0" applyFont="1" applyFill="1" applyAlignment="1">
      <alignment horizontal="center" vertical="center" wrapText="1"/>
    </xf>
    <xf numFmtId="49" fontId="22" fillId="0" borderId="0" xfId="0" applyNumberFormat="1" applyFont="1" applyFill="1" applyAlignment="1">
      <alignment horizontal="left"/>
    </xf>
    <xf numFmtId="0" fontId="20" fillId="0" borderId="10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wrapText="1"/>
    </xf>
    <xf numFmtId="0" fontId="21" fillId="0" borderId="0" xfId="0" applyFont="1" applyFill="1"/>
    <xf numFmtId="0" fontId="20" fillId="0" borderId="10" xfId="0" applyFont="1" applyFill="1" applyBorder="1" applyAlignment="1">
      <alignment horizontal="justify" wrapText="1"/>
    </xf>
    <xf numFmtId="0" fontId="20" fillId="0" borderId="11" xfId="0" applyFont="1" applyFill="1" applyBorder="1" applyAlignment="1">
      <alignment horizontal="justify" vertical="center" wrapText="1"/>
    </xf>
    <xf numFmtId="0" fontId="19" fillId="0" borderId="0" xfId="0" applyFont="1" applyFill="1" applyAlignment="1">
      <alignment vertical="center"/>
    </xf>
    <xf numFmtId="0" fontId="23" fillId="0" borderId="10" xfId="0" applyFont="1" applyFill="1" applyBorder="1" applyAlignment="1">
      <alignment horizontal="justify" vertical="center" wrapText="1"/>
    </xf>
    <xf numFmtId="166" fontId="19" fillId="0" borderId="0" xfId="0" applyNumberFormat="1" applyFont="1" applyFill="1" applyBorder="1"/>
    <xf numFmtId="0" fontId="20" fillId="0" borderId="10" xfId="0" applyFont="1" applyFill="1" applyBorder="1" applyAlignment="1">
      <alignment horizontal="left" wrapText="1"/>
    </xf>
    <xf numFmtId="0" fontId="23" fillId="0" borderId="10" xfId="0" applyFont="1" applyFill="1" applyBorder="1" applyAlignment="1">
      <alignment horizontal="left" wrapText="1"/>
    </xf>
    <xf numFmtId="0" fontId="26" fillId="0" borderId="0" xfId="0" applyFont="1" applyFill="1"/>
    <xf numFmtId="0" fontId="20" fillId="0" borderId="10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justify" wrapText="1"/>
    </xf>
    <xf numFmtId="0" fontId="20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wrapText="1"/>
    </xf>
    <xf numFmtId="0" fontId="20" fillId="0" borderId="14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23" fillId="0" borderId="0" xfId="0" applyFont="1" applyFill="1" applyAlignment="1">
      <alignment wrapText="1"/>
    </xf>
    <xf numFmtId="0" fontId="26" fillId="0" borderId="10" xfId="0" applyFont="1" applyFill="1" applyBorder="1" applyAlignment="1">
      <alignment vertical="top" wrapText="1"/>
    </xf>
    <xf numFmtId="0" fontId="29" fillId="0" borderId="0" xfId="0" applyFont="1" applyFill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/>
    </xf>
    <xf numFmtId="0" fontId="29" fillId="0" borderId="0" xfId="0" applyFont="1" applyFill="1"/>
    <xf numFmtId="0" fontId="24" fillId="0" borderId="0" xfId="0" applyFont="1" applyFill="1"/>
    <xf numFmtId="0" fontId="27" fillId="0" borderId="0" xfId="0" applyFont="1" applyFill="1"/>
    <xf numFmtId="0" fontId="19" fillId="0" borderId="0" xfId="0" applyFont="1" applyFill="1" applyBorder="1"/>
    <xf numFmtId="166" fontId="23" fillId="0" borderId="0" xfId="0" applyNumberFormat="1" applyFont="1" applyFill="1" applyBorder="1" applyAlignment="1">
      <alignment horizontal="center" vertical="center"/>
    </xf>
    <xf numFmtId="167" fontId="23" fillId="0" borderId="0" xfId="0" applyNumberFormat="1" applyFont="1" applyFill="1" applyAlignment="1">
      <alignment horizontal="center" vertical="center"/>
    </xf>
    <xf numFmtId="164" fontId="23" fillId="0" borderId="0" xfId="0" applyNumberFormat="1" applyFont="1" applyFill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166" fontId="23" fillId="0" borderId="10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/>
    <xf numFmtId="49" fontId="20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vertical="center" wrapText="1"/>
    </xf>
    <xf numFmtId="49" fontId="20" fillId="0" borderId="10" xfId="0" applyNumberFormat="1" applyFont="1" applyFill="1" applyBorder="1" applyAlignment="1">
      <alignment horizontal="center" vertical="center"/>
    </xf>
    <xf numFmtId="166" fontId="34" fillId="0" borderId="10" xfId="0" applyNumberFormat="1" applyFont="1" applyFill="1" applyBorder="1" applyAlignment="1">
      <alignment horizontal="center" vertical="center" wrapText="1"/>
    </xf>
    <xf numFmtId="166" fontId="24" fillId="15" borderId="10" xfId="0" applyNumberFormat="1" applyFont="1" applyFill="1" applyBorder="1" applyAlignment="1">
      <alignment horizontal="center" vertical="center" wrapText="1"/>
    </xf>
    <xf numFmtId="0" fontId="19" fillId="15" borderId="0" xfId="0" applyFont="1" applyFill="1"/>
    <xf numFmtId="0" fontId="24" fillId="15" borderId="10" xfId="0" quotePrefix="1" applyFont="1" applyFill="1" applyBorder="1" applyAlignment="1">
      <alignment horizontal="center" vertical="center"/>
    </xf>
    <xf numFmtId="0" fontId="24" fillId="15" borderId="10" xfId="0" applyFont="1" applyFill="1" applyBorder="1" applyAlignment="1">
      <alignment vertical="center"/>
    </xf>
    <xf numFmtId="0" fontId="21" fillId="15" borderId="0" xfId="0" applyFont="1" applyFill="1"/>
    <xf numFmtId="0" fontId="23" fillId="0" borderId="10" xfId="0" applyFont="1" applyBorder="1" applyAlignment="1">
      <alignment wrapText="1"/>
    </xf>
    <xf numFmtId="49" fontId="20" fillId="0" borderId="10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wrapText="1"/>
    </xf>
    <xf numFmtId="0" fontId="20" fillId="0" borderId="10" xfId="0" applyFont="1" applyFill="1" applyBorder="1" applyAlignment="1">
      <alignment vertical="center" wrapText="1"/>
    </xf>
    <xf numFmtId="49" fontId="20" fillId="0" borderId="10" xfId="0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left" vertical="center" wrapText="1"/>
    </xf>
    <xf numFmtId="166" fontId="23" fillId="0" borderId="0" xfId="0" applyNumberFormat="1" applyFont="1" applyFill="1" applyAlignment="1">
      <alignment horizontal="center" vertical="center"/>
    </xf>
    <xf numFmtId="166" fontId="19" fillId="0" borderId="0" xfId="0" applyNumberFormat="1" applyFont="1" applyFill="1" applyAlignment="1">
      <alignment horizontal="center" vertical="center"/>
    </xf>
    <xf numFmtId="166" fontId="35" fillId="0" borderId="10" xfId="0" applyNumberFormat="1" applyFont="1" applyFill="1" applyBorder="1" applyAlignment="1">
      <alignment horizontal="center" vertical="center" wrapText="1"/>
    </xf>
    <xf numFmtId="166" fontId="36" fillId="0" borderId="1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0" fontId="0" fillId="0" borderId="0" xfId="0" applyAlignment="1"/>
    <xf numFmtId="168" fontId="20" fillId="0" borderId="0" xfId="24" applyNumberFormat="1" applyFont="1" applyFill="1" applyBorder="1" applyAlignment="1"/>
    <xf numFmtId="0" fontId="19" fillId="0" borderId="0" xfId="0" applyFont="1" applyFill="1" applyAlignment="1">
      <alignment horizontal="left"/>
    </xf>
    <xf numFmtId="166" fontId="19" fillId="0" borderId="0" xfId="0" applyNumberFormat="1" applyFont="1" applyFill="1" applyAlignment="1">
      <alignment horizontal="left"/>
    </xf>
    <xf numFmtId="0" fontId="19" fillId="0" borderId="10" xfId="0" applyFont="1" applyFill="1" applyBorder="1" applyAlignment="1">
      <alignment horizontal="left" vertical="center"/>
    </xf>
    <xf numFmtId="49" fontId="23" fillId="0" borderId="11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top" wrapText="1"/>
    </xf>
    <xf numFmtId="0" fontId="19" fillId="0" borderId="14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 vertical="center"/>
    </xf>
    <xf numFmtId="166" fontId="24" fillId="0" borderId="11" xfId="0" applyNumberFormat="1" applyFont="1" applyFill="1" applyBorder="1" applyAlignment="1">
      <alignment horizontal="center" vertical="center" wrapText="1"/>
    </xf>
    <xf numFmtId="166" fontId="19" fillId="0" borderId="12" xfId="0" applyNumberFormat="1" applyFont="1" applyFill="1" applyBorder="1" applyAlignment="1">
      <alignment horizontal="left"/>
    </xf>
    <xf numFmtId="0" fontId="20" fillId="0" borderId="10" xfId="0" applyFont="1" applyFill="1" applyBorder="1" applyAlignment="1">
      <alignment horizontal="center" vertical="center" wrapText="1"/>
    </xf>
    <xf numFmtId="49" fontId="23" fillId="15" borderId="10" xfId="0" applyNumberFormat="1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center" wrapText="1"/>
    </xf>
    <xf numFmtId="0" fontId="24" fillId="0" borderId="0" xfId="0" applyFont="1" applyFill="1" applyAlignment="1">
      <alignment horizontal="center" vertical="center"/>
    </xf>
    <xf numFmtId="0" fontId="24" fillId="15" borderId="10" xfId="0" applyFont="1" applyFill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wrapText="1"/>
    </xf>
    <xf numFmtId="0" fontId="32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top"/>
    </xf>
    <xf numFmtId="0" fontId="31" fillId="0" borderId="0" xfId="0" applyFont="1" applyFill="1" applyAlignment="1">
      <alignment horizontal="center" vertical="top"/>
    </xf>
    <xf numFmtId="0" fontId="19" fillId="0" borderId="12" xfId="0" applyFont="1" applyFill="1" applyBorder="1" applyAlignment="1">
      <alignment horizontal="center" vertical="center" textRotation="90" wrapText="1"/>
    </xf>
    <xf numFmtId="0" fontId="0" fillId="0" borderId="14" xfId="0" applyFont="1" applyFill="1" applyBorder="1" applyAlignment="1">
      <alignment horizontal="center" vertical="center" textRotation="90" wrapText="1"/>
    </xf>
    <xf numFmtId="49" fontId="26" fillId="0" borderId="11" xfId="0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49" fontId="24" fillId="15" borderId="10" xfId="0" applyNumberFormat="1" applyFont="1" applyFill="1" applyBorder="1" applyAlignment="1">
      <alignment horizontal="center" vertical="top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15" borderId="10" xfId="0" applyFont="1" applyFill="1" applyBorder="1" applyAlignment="1"/>
    <xf numFmtId="0" fontId="21" fillId="0" borderId="15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20" fillId="0" borderId="12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/>
    <xf numFmtId="0" fontId="0" fillId="0" borderId="14" xfId="0" applyFont="1" applyFill="1" applyBorder="1" applyAlignment="1"/>
    <xf numFmtId="0" fontId="19" fillId="0" borderId="12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24" fillId="15" borderId="11" xfId="0" applyFont="1" applyFill="1" applyBorder="1" applyAlignment="1">
      <alignment horizontal="center" vertical="center" wrapText="1"/>
    </xf>
    <xf numFmtId="0" fontId="21" fillId="15" borderId="15" xfId="0" applyFont="1" applyFill="1" applyBorder="1" applyAlignment="1">
      <alignment vertical="center"/>
    </xf>
    <xf numFmtId="0" fontId="21" fillId="15" borderId="16" xfId="0" applyFont="1" applyFill="1" applyBorder="1" applyAlignment="1">
      <alignment vertical="center"/>
    </xf>
    <xf numFmtId="49" fontId="24" fillId="15" borderId="10" xfId="0" applyNumberFormat="1" applyFont="1" applyFill="1" applyBorder="1" applyAlignment="1">
      <alignment horizontal="center" vertical="center"/>
    </xf>
    <xf numFmtId="0" fontId="23" fillId="15" borderId="10" xfId="0" applyFont="1" applyFill="1" applyBorder="1" applyAlignment="1">
      <alignment vertical="center"/>
    </xf>
    <xf numFmtId="0" fontId="19" fillId="0" borderId="13" xfId="0" applyFont="1" applyFill="1" applyBorder="1" applyAlignment="1">
      <alignment horizontal="left"/>
    </xf>
    <xf numFmtId="0" fontId="19" fillId="0" borderId="14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/>
    <xf numFmtId="0" fontId="19" fillId="0" borderId="14" xfId="0" applyFont="1" applyFill="1" applyBorder="1" applyAlignment="1"/>
    <xf numFmtId="0" fontId="20" fillId="0" borderId="12" xfId="0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horizontal="left" vertical="top"/>
    </xf>
    <xf numFmtId="0" fontId="19" fillId="0" borderId="14" xfId="0" applyFont="1" applyFill="1" applyBorder="1" applyAlignment="1">
      <alignment horizontal="left" vertical="top"/>
    </xf>
    <xf numFmtId="0" fontId="19" fillId="0" borderId="12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165" fontId="23" fillId="0" borderId="0" xfId="24" applyFont="1" applyFill="1" applyBorder="1" applyAlignment="1"/>
    <xf numFmtId="0" fontId="19" fillId="0" borderId="0" xfId="0" applyFont="1" applyFill="1" applyBorder="1" applyAlignment="1"/>
    <xf numFmtId="165" fontId="23" fillId="0" borderId="0" xfId="24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9" fontId="23" fillId="0" borderId="12" xfId="0" applyNumberFormat="1" applyFont="1" applyFill="1" applyBorder="1" applyAlignment="1">
      <alignment vertical="center"/>
    </xf>
    <xf numFmtId="49" fontId="23" fillId="0" borderId="14" xfId="0" applyNumberFormat="1" applyFont="1" applyFill="1" applyBorder="1" applyAlignment="1">
      <alignment vertical="center"/>
    </xf>
    <xf numFmtId="49" fontId="23" fillId="0" borderId="12" xfId="0" applyNumberFormat="1" applyFont="1" applyFill="1" applyBorder="1" applyAlignment="1">
      <alignment horizontal="center" vertical="center"/>
    </xf>
    <xf numFmtId="49" fontId="23" fillId="0" borderId="14" xfId="0" applyNumberFormat="1" applyFont="1" applyFill="1" applyBorder="1" applyAlignment="1">
      <alignment horizontal="center" vertical="center"/>
    </xf>
    <xf numFmtId="49" fontId="23" fillId="0" borderId="13" xfId="0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49" fontId="23" fillId="0" borderId="13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vertical="top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9" fillId="0" borderId="12" xfId="0" applyFont="1" applyFill="1" applyBorder="1" applyAlignment="1">
      <alignment horizontal="left" vertical="top"/>
    </xf>
    <xf numFmtId="0" fontId="0" fillId="0" borderId="13" xfId="0" applyBorder="1" applyAlignment="1"/>
    <xf numFmtId="0" fontId="0" fillId="0" borderId="14" xfId="0" applyBorder="1" applyAlignment="1"/>
    <xf numFmtId="0" fontId="20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49" fontId="20" fillId="0" borderId="12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166" fontId="20" fillId="0" borderId="17" xfId="14" applyNumberFormat="1" applyFont="1" applyFill="1" applyBorder="1" applyAlignment="1">
      <alignment horizontal="left" vertical="center" wrapText="1"/>
    </xf>
    <xf numFmtId="166" fontId="20" fillId="0" borderId="18" xfId="14" applyNumberFormat="1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23" fillId="0" borderId="12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 wrapText="1"/>
    </xf>
    <xf numFmtId="0" fontId="24" fillId="15" borderId="10" xfId="0" applyFont="1" applyFill="1" applyBorder="1" applyAlignment="1">
      <alignment horizontal="center" vertical="top" wrapText="1"/>
    </xf>
    <xf numFmtId="0" fontId="21" fillId="15" borderId="10" xfId="0" applyFont="1" applyFill="1" applyBorder="1" applyAlignment="1">
      <alignment horizontal="center" vertical="top" wrapText="1"/>
    </xf>
    <xf numFmtId="166" fontId="20" fillId="0" borderId="12" xfId="14" applyNumberFormat="1" applyFont="1" applyFill="1" applyBorder="1" applyAlignment="1">
      <alignment horizontal="left" wrapText="1"/>
    </xf>
    <xf numFmtId="166" fontId="20" fillId="0" borderId="14" xfId="14" applyNumberFormat="1" applyFont="1" applyFill="1" applyBorder="1" applyAlignment="1">
      <alignment horizontal="left" wrapText="1"/>
    </xf>
    <xf numFmtId="0" fontId="20" fillId="0" borderId="12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49" fontId="23" fillId="0" borderId="12" xfId="0" applyNumberFormat="1" applyFont="1" applyFill="1" applyBorder="1" applyAlignment="1">
      <alignment horizontal="center" vertical="center" wrapText="1"/>
    </xf>
    <xf numFmtId="49" fontId="23" fillId="0" borderId="13" xfId="0" applyNumberFormat="1" applyFont="1" applyFill="1" applyBorder="1" applyAlignment="1">
      <alignment horizontal="center" vertical="center" wrapText="1"/>
    </xf>
    <xf numFmtId="49" fontId="23" fillId="0" borderId="14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49" fontId="20" fillId="0" borderId="14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/>
    </xf>
    <xf numFmtId="0" fontId="21" fillId="0" borderId="15" xfId="0" applyFont="1" applyFill="1" applyBorder="1"/>
    <xf numFmtId="0" fontId="21" fillId="0" borderId="16" xfId="0" applyFont="1" applyFill="1" applyBorder="1"/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Звичайний_Додаток _ 3 зм_ни 4575" xfId="14" xr:uid="{00000000-0005-0000-0000-00000D000000}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mruColors>
      <color rgb="FF66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&#1044;&#1086;&#1076;&#1072;&#1090;&#1086;&#1082;%206%20&#1074;&#1110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6"/>
      <sheetName val="д 6.1"/>
    </sheetNames>
    <sheetDataSet>
      <sheetData sheetId="0">
        <row r="59">
          <cell r="J59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L129"/>
  <sheetViews>
    <sheetView tabSelected="1" view="pageBreakPreview" topLeftCell="E104" zoomScaleSheetLayoutView="100" workbookViewId="0">
      <selection activeCell="J118" sqref="J118:K118"/>
    </sheetView>
  </sheetViews>
  <sheetFormatPr defaultRowHeight="15" x14ac:dyDescent="0.25"/>
  <cols>
    <col min="1" max="1" width="11.5703125" style="21" customWidth="1"/>
    <col min="2" max="2" width="10.42578125" style="21" customWidth="1"/>
    <col min="3" max="3" width="9.42578125" style="21" customWidth="1"/>
    <col min="4" max="4" width="55.42578125" style="48" customWidth="1"/>
    <col min="5" max="5" width="52.7109375" style="10" customWidth="1"/>
    <col min="6" max="6" width="25.85546875" style="10" customWidth="1"/>
    <col min="7" max="7" width="16.7109375" style="1" customWidth="1"/>
    <col min="8" max="8" width="16.140625" style="1" customWidth="1"/>
    <col min="9" max="10" width="13.7109375" style="1" customWidth="1"/>
    <col min="11" max="11" width="13.140625" style="10" customWidth="1"/>
    <col min="12" max="12" width="14.140625" style="10" customWidth="1"/>
    <col min="13" max="16384" width="9.140625" style="10"/>
  </cols>
  <sheetData>
    <row r="1" spans="1:11" x14ac:dyDescent="0.25">
      <c r="G1" s="122" t="s">
        <v>8</v>
      </c>
      <c r="H1" s="123"/>
      <c r="I1" s="123"/>
      <c r="J1" s="123"/>
    </row>
    <row r="2" spans="1:11" ht="17.25" customHeight="1" x14ac:dyDescent="0.25">
      <c r="A2" s="131">
        <v>10514000000</v>
      </c>
      <c r="B2" s="132"/>
      <c r="G2" s="124" t="s">
        <v>90</v>
      </c>
      <c r="H2" s="125"/>
      <c r="I2" s="125"/>
      <c r="J2" s="125"/>
      <c r="K2" s="50"/>
    </row>
    <row r="3" spans="1:11" ht="32.25" customHeight="1" x14ac:dyDescent="0.25">
      <c r="A3" s="133" t="s">
        <v>209</v>
      </c>
      <c r="B3" s="134"/>
      <c r="G3" s="126" t="s">
        <v>210</v>
      </c>
      <c r="H3" s="127"/>
      <c r="I3" s="127"/>
      <c r="J3" s="127"/>
      <c r="K3" s="51"/>
    </row>
    <row r="4" spans="1:11" ht="18.75" customHeight="1" x14ac:dyDescent="0.25">
      <c r="G4" s="128" t="s">
        <v>259</v>
      </c>
      <c r="H4" s="128"/>
      <c r="I4" s="128"/>
      <c r="J4" s="128"/>
      <c r="K4" s="50"/>
    </row>
    <row r="5" spans="1:11" x14ac:dyDescent="0.25">
      <c r="H5" s="52"/>
    </row>
    <row r="6" spans="1:11" ht="20.25" x14ac:dyDescent="0.3">
      <c r="C6" s="53" t="s">
        <v>150</v>
      </c>
    </row>
    <row r="7" spans="1:11" x14ac:dyDescent="0.25">
      <c r="A7" s="22"/>
      <c r="J7" s="1" t="s">
        <v>0</v>
      </c>
    </row>
    <row r="8" spans="1:11" ht="62.25" customHeight="1" x14ac:dyDescent="0.2">
      <c r="A8" s="135" t="s">
        <v>199</v>
      </c>
      <c r="B8" s="135" t="s">
        <v>200</v>
      </c>
      <c r="C8" s="135" t="s">
        <v>147</v>
      </c>
      <c r="D8" s="212" t="s">
        <v>201</v>
      </c>
      <c r="E8" s="120" t="s">
        <v>206</v>
      </c>
      <c r="F8" s="120" t="s">
        <v>207</v>
      </c>
      <c r="G8" s="120" t="s">
        <v>1</v>
      </c>
      <c r="H8" s="120" t="s">
        <v>2</v>
      </c>
      <c r="I8" s="120" t="s">
        <v>3</v>
      </c>
      <c r="J8" s="120"/>
    </row>
    <row r="9" spans="1:11" ht="66" customHeight="1" x14ac:dyDescent="0.2">
      <c r="A9" s="136"/>
      <c r="B9" s="136"/>
      <c r="C9" s="136"/>
      <c r="D9" s="213"/>
      <c r="E9" s="120"/>
      <c r="F9" s="120"/>
      <c r="G9" s="120"/>
      <c r="H9" s="120"/>
      <c r="I9" s="44" t="s">
        <v>4</v>
      </c>
      <c r="J9" s="44" t="s">
        <v>5</v>
      </c>
    </row>
    <row r="10" spans="1:11" ht="15.75" x14ac:dyDescent="0.2">
      <c r="A10" s="23">
        <v>1</v>
      </c>
      <c r="B10" s="23">
        <v>2</v>
      </c>
      <c r="C10" s="23">
        <v>3</v>
      </c>
      <c r="D10" s="54">
        <v>4</v>
      </c>
      <c r="E10" s="55">
        <v>5</v>
      </c>
      <c r="F10" s="55">
        <v>6</v>
      </c>
      <c r="G10" s="26">
        <v>7</v>
      </c>
      <c r="H10" s="26">
        <v>8</v>
      </c>
      <c r="I10" s="26">
        <v>9</v>
      </c>
      <c r="J10" s="26">
        <v>10</v>
      </c>
    </row>
    <row r="11" spans="1:11" s="93" customFormat="1" ht="15.75" customHeight="1" x14ac:dyDescent="0.2">
      <c r="A11" s="121" t="s">
        <v>9</v>
      </c>
      <c r="B11" s="121"/>
      <c r="C11" s="121"/>
      <c r="D11" s="129" t="s">
        <v>10</v>
      </c>
      <c r="E11" s="129"/>
      <c r="F11" s="130"/>
      <c r="G11" s="92">
        <f t="shared" ref="G11:G71" si="0">H11+I11</f>
        <v>5862430</v>
      </c>
      <c r="H11" s="92">
        <f>H15+H16+H17+H18+H19+H20+H21+H22+H23+H24+H26+H25+H27+H28</f>
        <v>4379936</v>
      </c>
      <c r="I11" s="92">
        <f>I15+I16+I17+I18+I19+I20+I21+I22+I24+I26+I27+I28</f>
        <v>1482494</v>
      </c>
      <c r="J11" s="92">
        <f>J15+J16+J17+J18+J19+J20+J21+J22+J24+J26+J27+J28</f>
        <v>1482494</v>
      </c>
    </row>
    <row r="12" spans="1:11" ht="60" x14ac:dyDescent="0.2">
      <c r="A12" s="214" t="s">
        <v>16</v>
      </c>
      <c r="B12" s="217" t="s">
        <v>17</v>
      </c>
      <c r="C12" s="217" t="s">
        <v>18</v>
      </c>
      <c r="D12" s="220" t="s">
        <v>15</v>
      </c>
      <c r="E12" s="3" t="s">
        <v>148</v>
      </c>
      <c r="F12" s="37" t="s">
        <v>19</v>
      </c>
      <c r="G12" s="2">
        <f t="shared" si="0"/>
        <v>200000</v>
      </c>
      <c r="H12" s="4">
        <v>200000</v>
      </c>
      <c r="I12" s="4"/>
      <c r="J12" s="4"/>
    </row>
    <row r="13" spans="1:11" ht="60" x14ac:dyDescent="0.25">
      <c r="A13" s="215"/>
      <c r="B13" s="217"/>
      <c r="C13" s="219"/>
      <c r="D13" s="220"/>
      <c r="E13" s="28" t="s">
        <v>229</v>
      </c>
      <c r="F13" s="37" t="s">
        <v>228</v>
      </c>
      <c r="G13" s="2">
        <f t="shared" si="0"/>
        <v>100000</v>
      </c>
      <c r="H13" s="4">
        <v>100000</v>
      </c>
      <c r="I13" s="4"/>
      <c r="J13" s="4"/>
    </row>
    <row r="14" spans="1:11" ht="64.5" customHeight="1" x14ac:dyDescent="0.25">
      <c r="A14" s="216"/>
      <c r="B14" s="217"/>
      <c r="C14" s="219"/>
      <c r="D14" s="220"/>
      <c r="E14" s="56" t="s">
        <v>230</v>
      </c>
      <c r="F14" s="37" t="s">
        <v>228</v>
      </c>
      <c r="G14" s="2">
        <f t="shared" si="0"/>
        <v>1383517</v>
      </c>
      <c r="H14" s="4">
        <f>2700000-347552-400000-1205000-90900+198341+169527</f>
        <v>1024416</v>
      </c>
      <c r="I14" s="4">
        <f>197552+24000+62549+75000</f>
        <v>359101</v>
      </c>
      <c r="J14" s="4">
        <f>I14</f>
        <v>359101</v>
      </c>
    </row>
    <row r="15" spans="1:11" s="57" customFormat="1" ht="15.75" x14ac:dyDescent="0.2">
      <c r="A15" s="137" t="s">
        <v>88</v>
      </c>
      <c r="B15" s="221"/>
      <c r="C15" s="221"/>
      <c r="D15" s="222"/>
      <c r="E15" s="5"/>
      <c r="F15" s="34"/>
      <c r="G15" s="2">
        <f t="shared" si="0"/>
        <v>1683517</v>
      </c>
      <c r="H15" s="2">
        <f>H12+H13+H14</f>
        <v>1324416</v>
      </c>
      <c r="I15" s="2">
        <f t="shared" ref="I15:J15" si="1">I12+I13+I14</f>
        <v>359101</v>
      </c>
      <c r="J15" s="2">
        <f t="shared" si="1"/>
        <v>359101</v>
      </c>
    </row>
    <row r="16" spans="1:11" s="57" customFormat="1" ht="24.75" customHeight="1" x14ac:dyDescent="0.2">
      <c r="A16" s="27" t="s">
        <v>118</v>
      </c>
      <c r="B16" s="39" t="s">
        <v>119</v>
      </c>
      <c r="C16" s="39" t="s">
        <v>120</v>
      </c>
      <c r="D16" s="25" t="s">
        <v>121</v>
      </c>
      <c r="E16" s="204" t="s">
        <v>197</v>
      </c>
      <c r="F16" s="171" t="s">
        <v>187</v>
      </c>
      <c r="G16" s="4">
        <f t="shared" si="0"/>
        <v>100000</v>
      </c>
      <c r="H16" s="4">
        <v>100000</v>
      </c>
      <c r="I16" s="4"/>
      <c r="J16" s="4"/>
    </row>
    <row r="17" spans="1:12" s="57" customFormat="1" ht="33.75" customHeight="1" x14ac:dyDescent="0.2">
      <c r="A17" s="6" t="s">
        <v>122</v>
      </c>
      <c r="B17" s="39" t="s">
        <v>123</v>
      </c>
      <c r="C17" s="39" t="s">
        <v>124</v>
      </c>
      <c r="D17" s="36" t="s">
        <v>125</v>
      </c>
      <c r="E17" s="205"/>
      <c r="F17" s="173"/>
      <c r="G17" s="4">
        <f t="shared" si="0"/>
        <v>75000</v>
      </c>
      <c r="H17" s="4">
        <f>50000+25000</f>
        <v>75000</v>
      </c>
      <c r="I17" s="4"/>
      <c r="J17" s="4"/>
    </row>
    <row r="18" spans="1:12" s="57" customFormat="1" ht="30.75" customHeight="1" x14ac:dyDescent="0.25">
      <c r="A18" s="7" t="s">
        <v>153</v>
      </c>
      <c r="B18" s="7" t="s">
        <v>154</v>
      </c>
      <c r="C18" s="7" t="s">
        <v>155</v>
      </c>
      <c r="D18" s="28" t="s">
        <v>156</v>
      </c>
      <c r="E18" s="28" t="s">
        <v>212</v>
      </c>
      <c r="F18" s="113" t="s">
        <v>261</v>
      </c>
      <c r="G18" s="4">
        <f t="shared" si="0"/>
        <v>561200</v>
      </c>
      <c r="H18" s="4">
        <f>93300+129500+30000+290100+18300</f>
        <v>561200</v>
      </c>
      <c r="I18" s="4"/>
      <c r="J18" s="4"/>
    </row>
    <row r="19" spans="1:12" ht="30" customHeight="1" x14ac:dyDescent="0.2">
      <c r="A19" s="23" t="s">
        <v>27</v>
      </c>
      <c r="B19" s="23" t="s">
        <v>28</v>
      </c>
      <c r="C19" s="23" t="s">
        <v>29</v>
      </c>
      <c r="D19" s="25" t="s">
        <v>22</v>
      </c>
      <c r="E19" s="192" t="s">
        <v>11</v>
      </c>
      <c r="F19" s="193" t="s">
        <v>248</v>
      </c>
      <c r="G19" s="2">
        <f t="shared" si="0"/>
        <v>140000</v>
      </c>
      <c r="H19" s="4">
        <v>140000</v>
      </c>
      <c r="I19" s="4"/>
      <c r="J19" s="4"/>
    </row>
    <row r="20" spans="1:12" ht="60" customHeight="1" x14ac:dyDescent="0.25">
      <c r="A20" s="23" t="s">
        <v>30</v>
      </c>
      <c r="B20" s="23" t="s">
        <v>31</v>
      </c>
      <c r="C20" s="23" t="s">
        <v>29</v>
      </c>
      <c r="D20" s="58" t="s">
        <v>23</v>
      </c>
      <c r="E20" s="192"/>
      <c r="F20" s="193"/>
      <c r="G20" s="2">
        <f t="shared" si="0"/>
        <v>400000</v>
      </c>
      <c r="H20" s="4">
        <v>400000</v>
      </c>
      <c r="I20" s="4"/>
      <c r="J20" s="4"/>
    </row>
    <row r="21" spans="1:12" s="60" customFormat="1" ht="36.75" customHeight="1" x14ac:dyDescent="0.2">
      <c r="A21" s="7" t="s">
        <v>215</v>
      </c>
      <c r="B21" s="39" t="s">
        <v>213</v>
      </c>
      <c r="C21" s="39" t="s">
        <v>34</v>
      </c>
      <c r="D21" s="59" t="s">
        <v>216</v>
      </c>
      <c r="E21" s="36" t="s">
        <v>214</v>
      </c>
      <c r="F21" s="88" t="s">
        <v>235</v>
      </c>
      <c r="G21" s="2">
        <f t="shared" si="0"/>
        <v>1284013</v>
      </c>
      <c r="H21" s="4">
        <f>100000+160420</f>
        <v>260420</v>
      </c>
      <c r="I21" s="4">
        <f>190948+661465+171180</f>
        <v>1023593</v>
      </c>
      <c r="J21" s="4">
        <f>I21</f>
        <v>1023593</v>
      </c>
    </row>
    <row r="22" spans="1:12" ht="45" customHeight="1" x14ac:dyDescent="0.25">
      <c r="A22" s="23" t="s">
        <v>32</v>
      </c>
      <c r="B22" s="23" t="s">
        <v>33</v>
      </c>
      <c r="C22" s="23" t="s">
        <v>34</v>
      </c>
      <c r="D22" s="58" t="s">
        <v>24</v>
      </c>
      <c r="E22" s="36" t="s">
        <v>12</v>
      </c>
      <c r="F22" s="37" t="s">
        <v>20</v>
      </c>
      <c r="G22" s="2">
        <f t="shared" si="0"/>
        <v>981800</v>
      </c>
      <c r="H22" s="4">
        <f>882000</f>
        <v>882000</v>
      </c>
      <c r="I22" s="4">
        <f>49800+50000</f>
        <v>99800</v>
      </c>
      <c r="J22" s="4">
        <f>I22</f>
        <v>99800</v>
      </c>
    </row>
    <row r="23" spans="1:12" ht="57.75" customHeight="1" x14ac:dyDescent="0.2">
      <c r="A23" s="217" t="s">
        <v>159</v>
      </c>
      <c r="B23" s="217" t="s">
        <v>36</v>
      </c>
      <c r="C23" s="217" t="s">
        <v>34</v>
      </c>
      <c r="D23" s="220" t="s">
        <v>25</v>
      </c>
      <c r="E23" s="36" t="s">
        <v>160</v>
      </c>
      <c r="F23" s="37" t="s">
        <v>161</v>
      </c>
      <c r="G23" s="2">
        <f t="shared" si="0"/>
        <v>60000</v>
      </c>
      <c r="H23" s="4">
        <v>60000</v>
      </c>
      <c r="I23" s="4"/>
      <c r="J23" s="4"/>
    </row>
    <row r="24" spans="1:12" ht="18" hidden="1" customHeight="1" x14ac:dyDescent="0.2">
      <c r="A24" s="224"/>
      <c r="B24" s="224"/>
      <c r="C24" s="224"/>
      <c r="D24" s="223"/>
      <c r="E24" s="36" t="s">
        <v>13</v>
      </c>
      <c r="F24" s="37"/>
      <c r="G24" s="2"/>
      <c r="H24" s="4"/>
      <c r="I24" s="4"/>
      <c r="J24" s="4"/>
    </row>
    <row r="25" spans="1:12" ht="20.25" customHeight="1" x14ac:dyDescent="0.2">
      <c r="A25" s="16" t="s">
        <v>145</v>
      </c>
      <c r="B25" s="7" t="s">
        <v>126</v>
      </c>
      <c r="C25" s="7" t="s">
        <v>127</v>
      </c>
      <c r="D25" s="15" t="s">
        <v>128</v>
      </c>
      <c r="E25" s="147" t="s">
        <v>190</v>
      </c>
      <c r="F25" s="153" t="s">
        <v>221</v>
      </c>
      <c r="G25" s="2">
        <f>H25+I25</f>
        <v>16770</v>
      </c>
      <c r="H25" s="4">
        <f>20000-3230</f>
        <v>16770</v>
      </c>
      <c r="I25" s="4"/>
      <c r="J25" s="4"/>
    </row>
    <row r="26" spans="1:12" ht="31.5" customHeight="1" x14ac:dyDescent="0.25">
      <c r="A26" s="8" t="s">
        <v>191</v>
      </c>
      <c r="B26" s="7" t="s">
        <v>192</v>
      </c>
      <c r="C26" s="7" t="s">
        <v>193</v>
      </c>
      <c r="D26" s="29" t="s">
        <v>194</v>
      </c>
      <c r="E26" s="207"/>
      <c r="F26" s="183"/>
      <c r="G26" s="2">
        <f t="shared" si="0"/>
        <v>33230</v>
      </c>
      <c r="H26" s="4">
        <f>30000+3230</f>
        <v>33230</v>
      </c>
      <c r="I26" s="4"/>
      <c r="J26" s="4"/>
    </row>
    <row r="27" spans="1:12" ht="64.5" customHeight="1" x14ac:dyDescent="0.2">
      <c r="A27" s="23" t="s">
        <v>37</v>
      </c>
      <c r="B27" s="23" t="s">
        <v>38</v>
      </c>
      <c r="C27" s="23" t="s">
        <v>39</v>
      </c>
      <c r="D27" s="36" t="s">
        <v>26</v>
      </c>
      <c r="E27" s="36" t="s">
        <v>14</v>
      </c>
      <c r="F27" s="37" t="s">
        <v>21</v>
      </c>
      <c r="G27" s="2">
        <f t="shared" si="0"/>
        <v>291900</v>
      </c>
      <c r="H27" s="4">
        <f>276900+100000-85000</f>
        <v>291900</v>
      </c>
      <c r="I27" s="4"/>
      <c r="J27" s="4"/>
    </row>
    <row r="28" spans="1:12" ht="90" customHeight="1" x14ac:dyDescent="0.2">
      <c r="A28" s="8" t="s">
        <v>134</v>
      </c>
      <c r="B28" s="7" t="s">
        <v>133</v>
      </c>
      <c r="C28" s="7" t="s">
        <v>135</v>
      </c>
      <c r="D28" s="61" t="s">
        <v>136</v>
      </c>
      <c r="E28" s="9" t="s">
        <v>195</v>
      </c>
      <c r="F28" s="113" t="s">
        <v>263</v>
      </c>
      <c r="G28" s="2">
        <f t="shared" si="0"/>
        <v>235000</v>
      </c>
      <c r="H28" s="4">
        <f>50000+30000+70000+85000</f>
        <v>235000</v>
      </c>
      <c r="I28" s="4"/>
      <c r="J28" s="4"/>
    </row>
    <row r="29" spans="1:12" s="93" customFormat="1" ht="15.75" x14ac:dyDescent="0.2">
      <c r="A29" s="121" t="s">
        <v>41</v>
      </c>
      <c r="B29" s="121"/>
      <c r="C29" s="121"/>
      <c r="D29" s="208" t="s">
        <v>40</v>
      </c>
      <c r="E29" s="208"/>
      <c r="F29" s="209"/>
      <c r="G29" s="92">
        <f t="shared" si="0"/>
        <v>1485044</v>
      </c>
      <c r="H29" s="92">
        <f>H36+H37</f>
        <v>24800</v>
      </c>
      <c r="I29" s="92">
        <f>I36+I37</f>
        <v>1460244</v>
      </c>
      <c r="J29" s="92">
        <f t="shared" ref="J29" si="2">J36+J37</f>
        <v>1460244</v>
      </c>
    </row>
    <row r="30" spans="1:12" ht="18.75" customHeight="1" x14ac:dyDescent="0.25">
      <c r="A30" s="39" t="s">
        <v>42</v>
      </c>
      <c r="B30" s="39" t="s">
        <v>45</v>
      </c>
      <c r="C30" s="39" t="s">
        <v>49</v>
      </c>
      <c r="D30" s="28" t="s">
        <v>54</v>
      </c>
      <c r="E30" s="147" t="s">
        <v>198</v>
      </c>
      <c r="F30" s="153" t="s">
        <v>247</v>
      </c>
      <c r="G30" s="2">
        <f t="shared" si="0"/>
        <v>159302</v>
      </c>
      <c r="H30" s="84"/>
      <c r="I30" s="85">
        <f>6500+3102-300+150000</f>
        <v>159302</v>
      </c>
      <c r="J30" s="106">
        <f>I30</f>
        <v>159302</v>
      </c>
      <c r="L30" s="62"/>
    </row>
    <row r="31" spans="1:12" ht="45.75" customHeight="1" x14ac:dyDescent="0.25">
      <c r="A31" s="6" t="s">
        <v>43</v>
      </c>
      <c r="B31" s="47" t="s">
        <v>46</v>
      </c>
      <c r="C31" s="47" t="s">
        <v>50</v>
      </c>
      <c r="D31" s="69" t="s">
        <v>202</v>
      </c>
      <c r="E31" s="148"/>
      <c r="F31" s="154"/>
      <c r="G31" s="2">
        <f t="shared" si="0"/>
        <v>1317742</v>
      </c>
      <c r="H31" s="84">
        <v>16800</v>
      </c>
      <c r="I31" s="85">
        <f>76715+4842-14715+826441+150000+479000+205000-49548-339094-37699</f>
        <v>1300942</v>
      </c>
      <c r="J31" s="106">
        <f>I31</f>
        <v>1300942</v>
      </c>
      <c r="L31" s="62"/>
    </row>
    <row r="32" spans="1:12" ht="18" hidden="1" customHeight="1" x14ac:dyDescent="0.25">
      <c r="A32" s="39"/>
      <c r="B32" s="39"/>
      <c r="C32" s="39"/>
      <c r="D32" s="28"/>
      <c r="E32" s="148"/>
      <c r="F32" s="154"/>
      <c r="G32" s="2"/>
      <c r="H32" s="84"/>
      <c r="I32" s="84"/>
      <c r="J32" s="4">
        <f t="shared" ref="J32:J35" si="3">I32</f>
        <v>0</v>
      </c>
    </row>
    <row r="33" spans="1:10" ht="20.25" customHeight="1" x14ac:dyDescent="0.25">
      <c r="A33" s="39" t="s">
        <v>44</v>
      </c>
      <c r="B33" s="39" t="s">
        <v>48</v>
      </c>
      <c r="C33" s="39" t="s">
        <v>52</v>
      </c>
      <c r="D33" s="63" t="s">
        <v>55</v>
      </c>
      <c r="E33" s="148"/>
      <c r="F33" s="154"/>
      <c r="G33" s="2">
        <f t="shared" si="0"/>
        <v>8000</v>
      </c>
      <c r="H33" s="4">
        <v>8000</v>
      </c>
      <c r="I33" s="4"/>
      <c r="J33" s="4">
        <f t="shared" si="3"/>
        <v>0</v>
      </c>
    </row>
    <row r="34" spans="1:10" ht="18.75" hidden="1" customHeight="1" x14ac:dyDescent="0.25">
      <c r="A34" s="8"/>
      <c r="B34" s="7"/>
      <c r="C34" s="7"/>
      <c r="D34" s="64"/>
      <c r="E34" s="148"/>
      <c r="F34" s="154"/>
      <c r="G34" s="2">
        <f t="shared" si="0"/>
        <v>0</v>
      </c>
      <c r="H34" s="4"/>
      <c r="I34" s="4"/>
      <c r="J34" s="4">
        <f t="shared" si="3"/>
        <v>0</v>
      </c>
    </row>
    <row r="35" spans="1:10" ht="34.5" hidden="1" customHeight="1" x14ac:dyDescent="0.25">
      <c r="A35" s="8" t="s">
        <v>238</v>
      </c>
      <c r="B35" s="7" t="s">
        <v>236</v>
      </c>
      <c r="C35" s="7" t="s">
        <v>53</v>
      </c>
      <c r="D35" s="97" t="s">
        <v>237</v>
      </c>
      <c r="E35" s="148"/>
      <c r="F35" s="154"/>
      <c r="G35" s="2">
        <f t="shared" si="0"/>
        <v>0</v>
      </c>
      <c r="H35" s="4"/>
      <c r="I35" s="4"/>
      <c r="J35" s="106">
        <f t="shared" si="3"/>
        <v>0</v>
      </c>
    </row>
    <row r="36" spans="1:10" ht="18.75" customHeight="1" x14ac:dyDescent="0.2">
      <c r="A36" s="137" t="s">
        <v>88</v>
      </c>
      <c r="B36" s="140"/>
      <c r="C36" s="140"/>
      <c r="D36" s="141"/>
      <c r="E36" s="149"/>
      <c r="F36" s="155"/>
      <c r="G36" s="2">
        <f t="shared" si="0"/>
        <v>1485044</v>
      </c>
      <c r="H36" s="2">
        <f>H30+H31+H32+H33+H34+H35</f>
        <v>24800</v>
      </c>
      <c r="I36" s="2">
        <f t="shared" ref="I36:J36" si="4">I30+I31+I32+I33+I34+I35</f>
        <v>1460244</v>
      </c>
      <c r="J36" s="2">
        <f t="shared" si="4"/>
        <v>1460244</v>
      </c>
    </row>
    <row r="37" spans="1:10" ht="47.25" hidden="1" customHeight="1" x14ac:dyDescent="0.25">
      <c r="A37" s="6" t="s">
        <v>43</v>
      </c>
      <c r="B37" s="90" t="s">
        <v>46</v>
      </c>
      <c r="C37" s="90" t="s">
        <v>50</v>
      </c>
      <c r="D37" s="69" t="s">
        <v>202</v>
      </c>
      <c r="E37" s="89" t="s">
        <v>234</v>
      </c>
      <c r="F37" s="88" t="s">
        <v>233</v>
      </c>
      <c r="G37" s="2">
        <f t="shared" si="0"/>
        <v>0</v>
      </c>
      <c r="H37" s="4">
        <f>85000-85000</f>
        <v>0</v>
      </c>
      <c r="I37" s="2"/>
      <c r="J37" s="2"/>
    </row>
    <row r="38" spans="1:10" s="93" customFormat="1" ht="30" customHeight="1" x14ac:dyDescent="0.2">
      <c r="A38" s="142" t="s">
        <v>56</v>
      </c>
      <c r="B38" s="142"/>
      <c r="C38" s="142"/>
      <c r="D38" s="129" t="s">
        <v>57</v>
      </c>
      <c r="E38" s="143"/>
      <c r="F38" s="144"/>
      <c r="G38" s="92">
        <f t="shared" si="0"/>
        <v>3561026.36</v>
      </c>
      <c r="H38" s="92">
        <f>H39+H43+H44+H49+H50+H51</f>
        <v>2620400</v>
      </c>
      <c r="I38" s="92">
        <f t="shared" ref="I38:J38" si="5">I39+I43+I44+I49+I50+I51</f>
        <v>940626.36</v>
      </c>
      <c r="J38" s="92">
        <f t="shared" si="5"/>
        <v>940626.36</v>
      </c>
    </row>
    <row r="39" spans="1:10" s="48" customFormat="1" ht="47.25" customHeight="1" x14ac:dyDescent="0.25">
      <c r="A39" s="11" t="s">
        <v>91</v>
      </c>
      <c r="B39" s="47" t="s">
        <v>92</v>
      </c>
      <c r="C39" s="47" t="s">
        <v>93</v>
      </c>
      <c r="D39" s="58" t="s">
        <v>94</v>
      </c>
      <c r="E39" s="46" t="s">
        <v>219</v>
      </c>
      <c r="F39" s="45" t="s">
        <v>220</v>
      </c>
      <c r="G39" s="2">
        <f t="shared" si="0"/>
        <v>550000</v>
      </c>
      <c r="H39" s="12">
        <v>550000</v>
      </c>
      <c r="I39" s="13"/>
      <c r="J39" s="13"/>
    </row>
    <row r="40" spans="1:10" s="48" customFormat="1" ht="32.25" customHeight="1" x14ac:dyDescent="0.25">
      <c r="A40" s="11" t="s">
        <v>157</v>
      </c>
      <c r="B40" s="39" t="s">
        <v>152</v>
      </c>
      <c r="C40" s="39" t="s">
        <v>93</v>
      </c>
      <c r="D40" s="29" t="s">
        <v>162</v>
      </c>
      <c r="E40" s="150" t="s">
        <v>217</v>
      </c>
      <c r="F40" s="171" t="s">
        <v>218</v>
      </c>
      <c r="G40" s="2">
        <f t="shared" si="0"/>
        <v>20000</v>
      </c>
      <c r="H40" s="12">
        <v>20000</v>
      </c>
      <c r="I40" s="13"/>
      <c r="J40" s="13"/>
    </row>
    <row r="41" spans="1:10" s="48" customFormat="1" ht="32.25" customHeight="1" x14ac:dyDescent="0.25">
      <c r="A41" s="6" t="s">
        <v>95</v>
      </c>
      <c r="B41" s="39" t="s">
        <v>96</v>
      </c>
      <c r="C41" s="39" t="s">
        <v>93</v>
      </c>
      <c r="D41" s="28" t="s">
        <v>97</v>
      </c>
      <c r="E41" s="151"/>
      <c r="F41" s="225"/>
      <c r="G41" s="2">
        <f t="shared" si="0"/>
        <v>200000</v>
      </c>
      <c r="H41" s="12">
        <v>200000</v>
      </c>
      <c r="I41" s="13"/>
      <c r="J41" s="13"/>
    </row>
    <row r="42" spans="1:10" s="48" customFormat="1" ht="32.25" customHeight="1" x14ac:dyDescent="0.25">
      <c r="A42" s="6" t="s">
        <v>98</v>
      </c>
      <c r="B42" s="39" t="s">
        <v>99</v>
      </c>
      <c r="C42" s="39" t="s">
        <v>93</v>
      </c>
      <c r="D42" s="28" t="s">
        <v>100</v>
      </c>
      <c r="E42" s="151"/>
      <c r="F42" s="225"/>
      <c r="G42" s="2">
        <f t="shared" si="0"/>
        <v>250000</v>
      </c>
      <c r="H42" s="12">
        <v>250000</v>
      </c>
      <c r="I42" s="13"/>
      <c r="J42" s="13"/>
    </row>
    <row r="43" spans="1:10" s="65" customFormat="1" ht="19.5" customHeight="1" x14ac:dyDescent="0.2">
      <c r="A43" s="137" t="s">
        <v>88</v>
      </c>
      <c r="B43" s="145"/>
      <c r="C43" s="145"/>
      <c r="D43" s="146"/>
      <c r="E43" s="152"/>
      <c r="F43" s="226"/>
      <c r="G43" s="2">
        <f t="shared" si="0"/>
        <v>470000</v>
      </c>
      <c r="H43" s="13">
        <f>H40+H41+H42</f>
        <v>470000</v>
      </c>
      <c r="I43" s="13">
        <f t="shared" ref="I43:J43" si="6">I40+I41+I42</f>
        <v>0</v>
      </c>
      <c r="J43" s="13">
        <f t="shared" si="6"/>
        <v>0</v>
      </c>
    </row>
    <row r="44" spans="1:10" ht="18.75" customHeight="1" x14ac:dyDescent="0.2">
      <c r="A44" s="194" t="s">
        <v>58</v>
      </c>
      <c r="B44" s="194" t="s">
        <v>60</v>
      </c>
      <c r="C44" s="194" t="s">
        <v>47</v>
      </c>
      <c r="D44" s="156" t="s">
        <v>63</v>
      </c>
      <c r="E44" s="157"/>
      <c r="F44" s="40"/>
      <c r="G44" s="2">
        <f t="shared" si="0"/>
        <v>1305400</v>
      </c>
      <c r="H44" s="2">
        <f>H45+H46+H47+H48</f>
        <v>1305400</v>
      </c>
      <c r="I44" s="2">
        <f>I45+I46+I47</f>
        <v>0</v>
      </c>
      <c r="J44" s="2">
        <f>J45+J46+J47</f>
        <v>0</v>
      </c>
    </row>
    <row r="45" spans="1:10" ht="30" x14ac:dyDescent="0.2">
      <c r="A45" s="195"/>
      <c r="B45" s="195"/>
      <c r="C45" s="195"/>
      <c r="D45" s="30" t="s">
        <v>64</v>
      </c>
      <c r="E45" s="14" t="s">
        <v>65</v>
      </c>
      <c r="F45" s="37" t="s">
        <v>70</v>
      </c>
      <c r="G45" s="2">
        <f t="shared" si="0"/>
        <v>200000</v>
      </c>
      <c r="H45" s="4">
        <v>200000</v>
      </c>
      <c r="I45" s="4"/>
      <c r="J45" s="4"/>
    </row>
    <row r="46" spans="1:10" ht="48.75" customHeight="1" x14ac:dyDescent="0.2">
      <c r="A46" s="195"/>
      <c r="B46" s="195"/>
      <c r="C46" s="195"/>
      <c r="D46" s="31" t="s">
        <v>66</v>
      </c>
      <c r="E46" s="3" t="s">
        <v>231</v>
      </c>
      <c r="F46" s="88" t="s">
        <v>232</v>
      </c>
      <c r="G46" s="2">
        <f t="shared" si="0"/>
        <v>128000</v>
      </c>
      <c r="H46" s="4">
        <f>80000+48000</f>
        <v>128000</v>
      </c>
      <c r="I46" s="4"/>
      <c r="J46" s="4"/>
    </row>
    <row r="47" spans="1:10" ht="22.5" customHeight="1" x14ac:dyDescent="0.2">
      <c r="A47" s="195"/>
      <c r="B47" s="195"/>
      <c r="C47" s="195"/>
      <c r="D47" s="31" t="s">
        <v>67</v>
      </c>
      <c r="E47" s="198" t="s">
        <v>68</v>
      </c>
      <c r="F47" s="197" t="s">
        <v>262</v>
      </c>
      <c r="G47" s="2">
        <f t="shared" si="0"/>
        <v>916200</v>
      </c>
      <c r="H47" s="4">
        <f>331200+585000</f>
        <v>916200</v>
      </c>
      <c r="I47" s="4"/>
      <c r="J47" s="4"/>
    </row>
    <row r="48" spans="1:10" ht="22.5" customHeight="1" x14ac:dyDescent="0.2">
      <c r="A48" s="185"/>
      <c r="B48" s="185"/>
      <c r="C48" s="185"/>
      <c r="D48" s="31" t="s">
        <v>189</v>
      </c>
      <c r="E48" s="199"/>
      <c r="F48" s="197"/>
      <c r="G48" s="2">
        <f t="shared" si="0"/>
        <v>61200</v>
      </c>
      <c r="H48" s="4">
        <v>61200</v>
      </c>
      <c r="I48" s="4"/>
      <c r="J48" s="4"/>
    </row>
    <row r="49" spans="1:10" ht="80.25" customHeight="1" x14ac:dyDescent="0.25">
      <c r="A49" s="8" t="s">
        <v>184</v>
      </c>
      <c r="B49" s="7" t="s">
        <v>185</v>
      </c>
      <c r="C49" s="7" t="s">
        <v>45</v>
      </c>
      <c r="D49" s="29" t="s">
        <v>186</v>
      </c>
      <c r="E49" s="199"/>
      <c r="F49" s="197"/>
      <c r="G49" s="2">
        <f t="shared" si="0"/>
        <v>220000</v>
      </c>
      <c r="H49" s="4">
        <v>220000</v>
      </c>
      <c r="I49" s="4"/>
      <c r="J49" s="4"/>
    </row>
    <row r="50" spans="1:10" ht="46.5" customHeight="1" x14ac:dyDescent="0.25">
      <c r="A50" s="39" t="s">
        <v>59</v>
      </c>
      <c r="B50" s="39" t="s">
        <v>61</v>
      </c>
      <c r="C50" s="39" t="s">
        <v>62</v>
      </c>
      <c r="D50" s="28" t="s">
        <v>69</v>
      </c>
      <c r="E50" s="200"/>
      <c r="F50" s="202"/>
      <c r="G50" s="2">
        <f t="shared" si="0"/>
        <v>75000</v>
      </c>
      <c r="H50" s="4">
        <f>65000+10000</f>
        <v>75000</v>
      </c>
      <c r="I50" s="4"/>
      <c r="J50" s="4"/>
    </row>
    <row r="51" spans="1:10" ht="46.5" customHeight="1" x14ac:dyDescent="0.2">
      <c r="A51" s="8" t="s">
        <v>252</v>
      </c>
      <c r="B51" s="7" t="s">
        <v>253</v>
      </c>
      <c r="C51" s="114" t="s">
        <v>254</v>
      </c>
      <c r="D51" s="115" t="s">
        <v>255</v>
      </c>
      <c r="E51" s="201"/>
      <c r="F51" s="203"/>
      <c r="G51" s="2">
        <f t="shared" si="0"/>
        <v>940626.36</v>
      </c>
      <c r="H51" s="4"/>
      <c r="I51" s="4">
        <v>940626.36</v>
      </c>
      <c r="J51" s="4">
        <f>I51</f>
        <v>940626.36</v>
      </c>
    </row>
    <row r="52" spans="1:10" s="96" customFormat="1" ht="26.25" customHeight="1" x14ac:dyDescent="0.2">
      <c r="A52" s="94">
        <v>10</v>
      </c>
      <c r="B52" s="95"/>
      <c r="C52" s="95"/>
      <c r="D52" s="158" t="s">
        <v>245</v>
      </c>
      <c r="E52" s="159"/>
      <c r="F52" s="160"/>
      <c r="G52" s="92">
        <f t="shared" si="0"/>
        <v>255400</v>
      </c>
      <c r="H52" s="92">
        <f>H53+H54</f>
        <v>255400</v>
      </c>
      <c r="I52" s="92">
        <f t="shared" ref="I52:J52" si="7">I53+I54</f>
        <v>0</v>
      </c>
      <c r="J52" s="92">
        <f t="shared" si="7"/>
        <v>0</v>
      </c>
    </row>
    <row r="53" spans="1:10" s="65" customFormat="1" ht="44.25" customHeight="1" x14ac:dyDescent="0.25">
      <c r="A53" s="6" t="s">
        <v>140</v>
      </c>
      <c r="B53" s="101" t="s">
        <v>139</v>
      </c>
      <c r="C53" s="101" t="s">
        <v>51</v>
      </c>
      <c r="D53" s="99" t="s">
        <v>243</v>
      </c>
      <c r="E53" s="100" t="s">
        <v>242</v>
      </c>
      <c r="F53" s="102" t="s">
        <v>244</v>
      </c>
      <c r="G53" s="2">
        <f t="shared" si="0"/>
        <v>5400</v>
      </c>
      <c r="H53" s="12">
        <v>5400</v>
      </c>
      <c r="I53" s="13"/>
      <c r="J53" s="13"/>
    </row>
    <row r="54" spans="1:10" s="48" customFormat="1" ht="37.5" customHeight="1" x14ac:dyDescent="0.25">
      <c r="A54" s="6" t="s">
        <v>129</v>
      </c>
      <c r="B54" s="39" t="s">
        <v>130</v>
      </c>
      <c r="C54" s="39" t="s">
        <v>131</v>
      </c>
      <c r="D54" s="35" t="s">
        <v>132</v>
      </c>
      <c r="E54" s="103" t="s">
        <v>246</v>
      </c>
      <c r="F54" s="38" t="s">
        <v>222</v>
      </c>
      <c r="G54" s="2">
        <f t="shared" si="0"/>
        <v>250000</v>
      </c>
      <c r="H54" s="12">
        <v>250000</v>
      </c>
      <c r="I54" s="12"/>
      <c r="J54" s="12"/>
    </row>
    <row r="55" spans="1:10" s="93" customFormat="1" ht="23.25" customHeight="1" x14ac:dyDescent="0.2">
      <c r="A55" s="121" t="s">
        <v>71</v>
      </c>
      <c r="B55" s="121"/>
      <c r="C55" s="121"/>
      <c r="D55" s="129" t="s">
        <v>72</v>
      </c>
      <c r="E55" s="129"/>
      <c r="F55" s="130"/>
      <c r="G55" s="92">
        <f t="shared" si="0"/>
        <v>396000</v>
      </c>
      <c r="H55" s="92">
        <f>H56+H57+H58+H59+H60</f>
        <v>396000</v>
      </c>
      <c r="I55" s="92">
        <f t="shared" ref="I55:J55" si="8">I56+I57+I58+I59+I60</f>
        <v>0</v>
      </c>
      <c r="J55" s="92">
        <f t="shared" si="8"/>
        <v>0</v>
      </c>
    </row>
    <row r="56" spans="1:10" ht="47.25" customHeight="1" x14ac:dyDescent="0.2">
      <c r="A56" s="7" t="s">
        <v>73</v>
      </c>
      <c r="B56" s="11" t="s">
        <v>76</v>
      </c>
      <c r="C56" s="11" t="s">
        <v>29</v>
      </c>
      <c r="D56" s="66" t="s">
        <v>79</v>
      </c>
      <c r="E56" s="3" t="s">
        <v>82</v>
      </c>
      <c r="F56" s="37" t="s">
        <v>85</v>
      </c>
      <c r="G56" s="2">
        <f t="shared" si="0"/>
        <v>93000</v>
      </c>
      <c r="H56" s="4">
        <f>68000+10000+15000</f>
        <v>93000</v>
      </c>
      <c r="I56" s="4"/>
      <c r="J56" s="4"/>
    </row>
    <row r="57" spans="1:10" ht="30" x14ac:dyDescent="0.2">
      <c r="A57" s="196" t="s">
        <v>74</v>
      </c>
      <c r="B57" s="196" t="s">
        <v>77</v>
      </c>
      <c r="C57" s="196" t="s">
        <v>53</v>
      </c>
      <c r="D57" s="156" t="s">
        <v>80</v>
      </c>
      <c r="E57" s="3" t="s">
        <v>83</v>
      </c>
      <c r="F57" s="38" t="s">
        <v>89</v>
      </c>
      <c r="G57" s="2">
        <f t="shared" si="0"/>
        <v>2000</v>
      </c>
      <c r="H57" s="4">
        <v>2000</v>
      </c>
      <c r="I57" s="4"/>
      <c r="J57" s="4"/>
    </row>
    <row r="58" spans="1:10" ht="29.25" customHeight="1" x14ac:dyDescent="0.2">
      <c r="A58" s="197"/>
      <c r="B58" s="197"/>
      <c r="C58" s="197"/>
      <c r="D58" s="156"/>
      <c r="E58" s="15" t="s">
        <v>137</v>
      </c>
      <c r="F58" s="37" t="s">
        <v>86</v>
      </c>
      <c r="G58" s="2">
        <f t="shared" si="0"/>
        <v>250000</v>
      </c>
      <c r="H58" s="4">
        <f>100000+150000</f>
        <v>250000</v>
      </c>
      <c r="I58" s="4"/>
      <c r="J58" s="4"/>
    </row>
    <row r="59" spans="1:10" ht="18.75" customHeight="1" x14ac:dyDescent="0.2">
      <c r="A59" s="197"/>
      <c r="B59" s="197"/>
      <c r="C59" s="197"/>
      <c r="D59" s="156"/>
      <c r="E59" s="210" t="s">
        <v>84</v>
      </c>
      <c r="F59" s="206" t="s">
        <v>149</v>
      </c>
      <c r="G59" s="2">
        <f t="shared" si="0"/>
        <v>48000</v>
      </c>
      <c r="H59" s="4">
        <v>48000</v>
      </c>
      <c r="I59" s="4"/>
      <c r="J59" s="4"/>
    </row>
    <row r="60" spans="1:10" ht="29.25" customHeight="1" x14ac:dyDescent="0.25">
      <c r="A60" s="39" t="s">
        <v>75</v>
      </c>
      <c r="B60" s="39" t="s">
        <v>78</v>
      </c>
      <c r="C60" s="39" t="s">
        <v>53</v>
      </c>
      <c r="D60" s="28" t="s">
        <v>81</v>
      </c>
      <c r="E60" s="211"/>
      <c r="F60" s="206"/>
      <c r="G60" s="2">
        <f t="shared" si="0"/>
        <v>3000</v>
      </c>
      <c r="H60" s="4">
        <v>3000</v>
      </c>
      <c r="I60" s="4"/>
      <c r="J60" s="4"/>
    </row>
    <row r="61" spans="1:10" s="93" customFormat="1" ht="19.5" customHeight="1" x14ac:dyDescent="0.2">
      <c r="A61" s="161" t="s">
        <v>87</v>
      </c>
      <c r="B61" s="162"/>
      <c r="C61" s="162"/>
      <c r="D61" s="162"/>
      <c r="E61" s="162"/>
      <c r="F61" s="144"/>
      <c r="G61" s="92">
        <f t="shared" si="0"/>
        <v>38542356</v>
      </c>
      <c r="H61" s="92">
        <f>H72+H86+H88+H102+H112</f>
        <v>18527588</v>
      </c>
      <c r="I61" s="92">
        <f>I72+I86+I88+I102+I112</f>
        <v>20014768</v>
      </c>
      <c r="J61" s="92">
        <f>J72+J86+J88+J102+J112</f>
        <v>19508138</v>
      </c>
    </row>
    <row r="62" spans="1:10" ht="47.25" hidden="1" customHeight="1" x14ac:dyDescent="0.25">
      <c r="A62" s="47"/>
      <c r="B62" s="68"/>
      <c r="C62" s="47"/>
      <c r="D62" s="69"/>
      <c r="F62" s="86"/>
      <c r="G62" s="2"/>
      <c r="H62" s="4"/>
      <c r="I62" s="2"/>
      <c r="J62" s="2"/>
    </row>
    <row r="63" spans="1:10" s="48" customFormat="1" ht="47.25" hidden="1" customHeight="1" x14ac:dyDescent="0.25">
      <c r="A63" s="11"/>
      <c r="B63" s="47"/>
      <c r="C63" s="47"/>
      <c r="D63" s="58"/>
      <c r="E63" s="46"/>
      <c r="F63" s="45"/>
      <c r="G63" s="2"/>
      <c r="H63" s="12"/>
      <c r="I63" s="13"/>
      <c r="J63" s="13"/>
    </row>
    <row r="64" spans="1:10" s="48" customFormat="1" ht="23.25" customHeight="1" x14ac:dyDescent="0.25">
      <c r="A64" s="6" t="s">
        <v>118</v>
      </c>
      <c r="B64" s="98" t="s">
        <v>119</v>
      </c>
      <c r="C64" s="98" t="s">
        <v>120</v>
      </c>
      <c r="D64" s="25" t="s">
        <v>121</v>
      </c>
      <c r="E64" s="150" t="s">
        <v>138</v>
      </c>
      <c r="F64" s="165" t="s">
        <v>260</v>
      </c>
      <c r="G64" s="2">
        <f t="shared" si="0"/>
        <v>2377800</v>
      </c>
      <c r="H64" s="12">
        <f>200000+265800+200000+1022000+65000+61200+180000+283800+100000</f>
        <v>2377800</v>
      </c>
      <c r="I64" s="12"/>
      <c r="J64" s="12"/>
    </row>
    <row r="65" spans="1:11" ht="31.5" customHeight="1" x14ac:dyDescent="0.2">
      <c r="A65" s="6" t="s">
        <v>122</v>
      </c>
      <c r="B65" s="39" t="s">
        <v>123</v>
      </c>
      <c r="C65" s="39" t="s">
        <v>124</v>
      </c>
      <c r="D65" s="36" t="s">
        <v>125</v>
      </c>
      <c r="E65" s="163"/>
      <c r="F65" s="166"/>
      <c r="G65" s="2">
        <f t="shared" si="0"/>
        <v>250000</v>
      </c>
      <c r="H65" s="12">
        <v>250000</v>
      </c>
      <c r="I65" s="12"/>
      <c r="J65" s="2"/>
      <c r="K65" s="49"/>
    </row>
    <row r="66" spans="1:11" ht="31.5" customHeight="1" x14ac:dyDescent="0.2">
      <c r="A66" s="180" t="s">
        <v>215</v>
      </c>
      <c r="B66" s="194" t="s">
        <v>213</v>
      </c>
      <c r="C66" s="194" t="s">
        <v>34</v>
      </c>
      <c r="D66" s="59" t="s">
        <v>223</v>
      </c>
      <c r="E66" s="163"/>
      <c r="F66" s="166"/>
      <c r="G66" s="2">
        <f t="shared" si="0"/>
        <v>451597</v>
      </c>
      <c r="H66" s="12">
        <f>100000+117000+102000+109400</f>
        <v>428400</v>
      </c>
      <c r="I66" s="12">
        <v>23197</v>
      </c>
      <c r="J66" s="4">
        <f>I66</f>
        <v>23197</v>
      </c>
      <c r="K66" s="49"/>
    </row>
    <row r="67" spans="1:11" ht="31.5" customHeight="1" x14ac:dyDescent="0.2">
      <c r="A67" s="181"/>
      <c r="B67" s="218"/>
      <c r="C67" s="218"/>
      <c r="D67" s="59" t="s">
        <v>224</v>
      </c>
      <c r="E67" s="163"/>
      <c r="F67" s="166"/>
      <c r="G67" s="2">
        <f t="shared" si="0"/>
        <v>153600</v>
      </c>
      <c r="H67" s="12">
        <f>123600+30000</f>
        <v>153600</v>
      </c>
      <c r="I67" s="12"/>
      <c r="J67" s="2"/>
      <c r="K67" s="49"/>
    </row>
    <row r="68" spans="1:11" ht="31.5" customHeight="1" x14ac:dyDescent="0.25">
      <c r="A68" s="6" t="s">
        <v>239</v>
      </c>
      <c r="B68" s="98" t="s">
        <v>240</v>
      </c>
      <c r="C68" s="98" t="s">
        <v>34</v>
      </c>
      <c r="D68" s="99" t="s">
        <v>241</v>
      </c>
      <c r="E68" s="163"/>
      <c r="F68" s="166"/>
      <c r="G68" s="2">
        <f t="shared" si="0"/>
        <v>134500</v>
      </c>
      <c r="H68" s="12">
        <f>49500+55000+30000</f>
        <v>134500</v>
      </c>
      <c r="I68" s="12"/>
      <c r="J68" s="2"/>
      <c r="K68" s="49"/>
    </row>
    <row r="69" spans="1:11" ht="45" x14ac:dyDescent="0.25">
      <c r="A69" s="39" t="s">
        <v>32</v>
      </c>
      <c r="B69" s="39" t="s">
        <v>33</v>
      </c>
      <c r="C69" s="39" t="s">
        <v>34</v>
      </c>
      <c r="D69" s="67" t="s">
        <v>24</v>
      </c>
      <c r="E69" s="163"/>
      <c r="F69" s="166"/>
      <c r="G69" s="2">
        <f t="shared" si="0"/>
        <v>2569172</v>
      </c>
      <c r="H69" s="4">
        <f>2565000-35000+9672</f>
        <v>2539672</v>
      </c>
      <c r="I69" s="4">
        <f>35000-5500</f>
        <v>29500</v>
      </c>
      <c r="J69" s="106">
        <f>I69</f>
        <v>29500</v>
      </c>
    </row>
    <row r="70" spans="1:11" ht="18" customHeight="1" x14ac:dyDescent="0.25">
      <c r="A70" s="39" t="s">
        <v>35</v>
      </c>
      <c r="B70" s="39" t="s">
        <v>36</v>
      </c>
      <c r="C70" s="39" t="s">
        <v>34</v>
      </c>
      <c r="D70" s="67" t="s">
        <v>25</v>
      </c>
      <c r="E70" s="163"/>
      <c r="F70" s="166"/>
      <c r="G70" s="2">
        <f t="shared" si="0"/>
        <v>9333818</v>
      </c>
      <c r="H70" s="4">
        <f>10600000-60000+201000-236000+230000-200000-253000-600000-30000-318182</f>
        <v>9333818</v>
      </c>
      <c r="I70" s="4"/>
      <c r="J70" s="4"/>
    </row>
    <row r="71" spans="1:11" ht="21" customHeight="1" x14ac:dyDescent="0.25">
      <c r="A71" s="8" t="s">
        <v>105</v>
      </c>
      <c r="B71" s="7" t="s">
        <v>106</v>
      </c>
      <c r="C71" s="7" t="s">
        <v>107</v>
      </c>
      <c r="D71" s="29" t="s">
        <v>108</v>
      </c>
      <c r="E71" s="163"/>
      <c r="F71" s="166"/>
      <c r="G71" s="2">
        <f t="shared" si="0"/>
        <v>300000</v>
      </c>
      <c r="H71" s="4">
        <v>300000</v>
      </c>
      <c r="I71" s="4"/>
      <c r="J71" s="4"/>
    </row>
    <row r="72" spans="1:11" ht="17.25" customHeight="1" x14ac:dyDescent="0.2">
      <c r="A72" s="137" t="s">
        <v>88</v>
      </c>
      <c r="B72" s="140"/>
      <c r="C72" s="140"/>
      <c r="D72" s="140"/>
      <c r="E72" s="164"/>
      <c r="F72" s="167"/>
      <c r="G72" s="2">
        <f>H72+I72</f>
        <v>15570487</v>
      </c>
      <c r="H72" s="2">
        <f>H62+H63+H64+H65+H66+H67+H68+H69+H70+H71</f>
        <v>15517790</v>
      </c>
      <c r="I72" s="2">
        <f t="shared" ref="I72:J72" si="9">I64+I65+I66+I67+I69+I70+I71</f>
        <v>52697</v>
      </c>
      <c r="J72" s="2">
        <f t="shared" si="9"/>
        <v>52697</v>
      </c>
    </row>
    <row r="73" spans="1:11" ht="27.75" customHeight="1" x14ac:dyDescent="0.25">
      <c r="A73" s="39" t="s">
        <v>101</v>
      </c>
      <c r="B73" s="39" t="s">
        <v>102</v>
      </c>
      <c r="C73" s="39" t="s">
        <v>103</v>
      </c>
      <c r="D73" s="28" t="s">
        <v>104</v>
      </c>
      <c r="E73" s="168" t="s">
        <v>196</v>
      </c>
      <c r="F73" s="189" t="s">
        <v>188</v>
      </c>
      <c r="G73" s="2">
        <f t="shared" ref="G73:G102" si="10">H73+I73</f>
        <v>195000</v>
      </c>
      <c r="H73" s="12">
        <v>195000</v>
      </c>
      <c r="I73" s="12"/>
      <c r="J73" s="12"/>
    </row>
    <row r="74" spans="1:11" ht="17.25" hidden="1" customHeight="1" x14ac:dyDescent="0.25">
      <c r="A74" s="39" t="s">
        <v>16</v>
      </c>
      <c r="B74" s="39" t="s">
        <v>17</v>
      </c>
      <c r="C74" s="39" t="s">
        <v>18</v>
      </c>
      <c r="D74" s="58" t="s">
        <v>15</v>
      </c>
      <c r="E74" s="169"/>
      <c r="F74" s="169"/>
      <c r="G74" s="2">
        <f t="shared" si="10"/>
        <v>0</v>
      </c>
      <c r="H74" s="12"/>
      <c r="I74" s="12"/>
      <c r="J74" s="12"/>
    </row>
    <row r="75" spans="1:11" ht="20.25" customHeight="1" x14ac:dyDescent="0.25">
      <c r="A75" s="39" t="s">
        <v>42</v>
      </c>
      <c r="B75" s="68">
        <v>1010</v>
      </c>
      <c r="C75" s="39" t="s">
        <v>49</v>
      </c>
      <c r="D75" s="28" t="s">
        <v>54</v>
      </c>
      <c r="E75" s="169"/>
      <c r="F75" s="169"/>
      <c r="G75" s="2">
        <f t="shared" si="10"/>
        <v>50000</v>
      </c>
      <c r="H75" s="12">
        <v>50000</v>
      </c>
      <c r="I75" s="12"/>
      <c r="J75" s="12"/>
    </row>
    <row r="76" spans="1:11" ht="47.25" x14ac:dyDescent="0.25">
      <c r="A76" s="39" t="s">
        <v>43</v>
      </c>
      <c r="B76" s="68">
        <v>1020</v>
      </c>
      <c r="C76" s="39" t="s">
        <v>50</v>
      </c>
      <c r="D76" s="69" t="s">
        <v>202</v>
      </c>
      <c r="E76" s="169"/>
      <c r="F76" s="169"/>
      <c r="G76" s="2">
        <f t="shared" si="10"/>
        <v>50000</v>
      </c>
      <c r="H76" s="12">
        <v>50000</v>
      </c>
      <c r="I76" s="12"/>
      <c r="J76" s="12"/>
    </row>
    <row r="77" spans="1:11" ht="31.5" customHeight="1" x14ac:dyDescent="0.25">
      <c r="A77" s="39" t="s">
        <v>109</v>
      </c>
      <c r="B77" s="39" t="s">
        <v>102</v>
      </c>
      <c r="C77" s="39" t="s">
        <v>103</v>
      </c>
      <c r="D77" s="28" t="s">
        <v>104</v>
      </c>
      <c r="E77" s="169"/>
      <c r="F77" s="169"/>
      <c r="G77" s="2">
        <f t="shared" si="10"/>
        <v>25000</v>
      </c>
      <c r="H77" s="12">
        <v>25000</v>
      </c>
      <c r="I77" s="12"/>
      <c r="J77" s="12"/>
    </row>
    <row r="78" spans="1:11" ht="47.25" hidden="1" customHeight="1" x14ac:dyDescent="0.25">
      <c r="A78" s="8" t="s">
        <v>142</v>
      </c>
      <c r="B78" s="7" t="s">
        <v>143</v>
      </c>
      <c r="C78" s="7" t="s">
        <v>46</v>
      </c>
      <c r="D78" s="58" t="s">
        <v>144</v>
      </c>
      <c r="E78" s="169"/>
      <c r="F78" s="169"/>
      <c r="G78" s="2">
        <f t="shared" si="10"/>
        <v>0</v>
      </c>
      <c r="H78" s="12"/>
      <c r="I78" s="12"/>
      <c r="J78" s="12"/>
    </row>
    <row r="79" spans="1:11" ht="58.5" customHeight="1" x14ac:dyDescent="0.25">
      <c r="A79" s="8" t="s">
        <v>142</v>
      </c>
      <c r="B79" s="7" t="s">
        <v>143</v>
      </c>
      <c r="C79" s="7" t="s">
        <v>46</v>
      </c>
      <c r="D79" s="29" t="s">
        <v>144</v>
      </c>
      <c r="E79" s="169"/>
      <c r="F79" s="169"/>
      <c r="G79" s="2">
        <f t="shared" si="10"/>
        <v>20000</v>
      </c>
      <c r="H79" s="12">
        <v>20000</v>
      </c>
      <c r="I79" s="12"/>
      <c r="J79" s="12"/>
    </row>
    <row r="80" spans="1:11" ht="29.25" customHeight="1" x14ac:dyDescent="0.25">
      <c r="A80" s="39" t="s">
        <v>110</v>
      </c>
      <c r="B80" s="39" t="s">
        <v>111</v>
      </c>
      <c r="C80" s="39" t="s">
        <v>112</v>
      </c>
      <c r="D80" s="28" t="s">
        <v>113</v>
      </c>
      <c r="E80" s="169"/>
      <c r="F80" s="169"/>
      <c r="G80" s="2">
        <f t="shared" si="10"/>
        <v>40000</v>
      </c>
      <c r="H80" s="91">
        <v>40000</v>
      </c>
      <c r="I80" s="12"/>
      <c r="J80" s="12"/>
    </row>
    <row r="81" spans="1:11" ht="15.75" hidden="1" x14ac:dyDescent="0.25">
      <c r="A81" s="39" t="s">
        <v>73</v>
      </c>
      <c r="B81" s="39" t="s">
        <v>76</v>
      </c>
      <c r="C81" s="39" t="s">
        <v>29</v>
      </c>
      <c r="D81" s="28" t="s">
        <v>79</v>
      </c>
      <c r="E81" s="169"/>
      <c r="F81" s="169"/>
      <c r="G81" s="2">
        <f t="shared" si="10"/>
        <v>0</v>
      </c>
      <c r="H81" s="91"/>
      <c r="I81" s="12"/>
      <c r="J81" s="12"/>
    </row>
    <row r="82" spans="1:11" ht="18" customHeight="1" x14ac:dyDescent="0.25">
      <c r="A82" s="8" t="s">
        <v>140</v>
      </c>
      <c r="B82" s="7" t="s">
        <v>139</v>
      </c>
      <c r="C82" s="7" t="s">
        <v>51</v>
      </c>
      <c r="D82" s="69" t="s">
        <v>204</v>
      </c>
      <c r="E82" s="169"/>
      <c r="F82" s="169"/>
      <c r="G82" s="2">
        <f t="shared" si="10"/>
        <v>20000</v>
      </c>
      <c r="H82" s="91">
        <v>20000</v>
      </c>
      <c r="I82" s="12"/>
      <c r="J82" s="12"/>
    </row>
    <row r="83" spans="1:11" ht="18" customHeight="1" x14ac:dyDescent="0.25">
      <c r="A83" s="8" t="s">
        <v>73</v>
      </c>
      <c r="B83" s="7" t="s">
        <v>76</v>
      </c>
      <c r="C83" s="7" t="s">
        <v>29</v>
      </c>
      <c r="D83" s="69" t="s">
        <v>163</v>
      </c>
      <c r="E83" s="169"/>
      <c r="F83" s="169"/>
      <c r="G83" s="2">
        <f t="shared" si="10"/>
        <v>20000</v>
      </c>
      <c r="H83" s="12">
        <v>20000</v>
      </c>
      <c r="I83" s="12"/>
      <c r="J83" s="12"/>
    </row>
    <row r="84" spans="1:11" ht="17.25" customHeight="1" x14ac:dyDescent="0.25">
      <c r="A84" s="39" t="s">
        <v>114</v>
      </c>
      <c r="B84" s="39" t="s">
        <v>115</v>
      </c>
      <c r="C84" s="39" t="s">
        <v>53</v>
      </c>
      <c r="D84" s="28" t="s">
        <v>116</v>
      </c>
      <c r="E84" s="169"/>
      <c r="F84" s="169"/>
      <c r="G84" s="2">
        <f t="shared" si="10"/>
        <v>20000</v>
      </c>
      <c r="H84" s="12">
        <v>20000</v>
      </c>
      <c r="I84" s="12"/>
      <c r="J84" s="12"/>
    </row>
    <row r="85" spans="1:11" ht="27.75" customHeight="1" x14ac:dyDescent="0.25">
      <c r="A85" s="39" t="s">
        <v>117</v>
      </c>
      <c r="B85" s="39" t="s">
        <v>102</v>
      </c>
      <c r="C85" s="39" t="s">
        <v>103</v>
      </c>
      <c r="D85" s="28" t="s">
        <v>104</v>
      </c>
      <c r="E85" s="169"/>
      <c r="F85" s="169"/>
      <c r="G85" s="2">
        <f t="shared" si="10"/>
        <v>40000</v>
      </c>
      <c r="H85" s="12">
        <v>40000</v>
      </c>
      <c r="I85" s="12"/>
      <c r="J85" s="12"/>
    </row>
    <row r="86" spans="1:11" ht="15.75" x14ac:dyDescent="0.25">
      <c r="A86" s="137" t="s">
        <v>88</v>
      </c>
      <c r="B86" s="138"/>
      <c r="C86" s="138"/>
      <c r="D86" s="139"/>
      <c r="E86" s="170"/>
      <c r="F86" s="170"/>
      <c r="G86" s="2">
        <f t="shared" si="10"/>
        <v>480000</v>
      </c>
      <c r="H86" s="13">
        <f>SUM(H73:H85)</f>
        <v>480000</v>
      </c>
      <c r="I86" s="13">
        <f t="shared" ref="I86:J86" si="11">SUM(I73:I85)</f>
        <v>0</v>
      </c>
      <c r="J86" s="13">
        <f t="shared" si="11"/>
        <v>0</v>
      </c>
    </row>
    <row r="87" spans="1:11" ht="34.5" customHeight="1" x14ac:dyDescent="0.2">
      <c r="A87" s="39" t="s">
        <v>42</v>
      </c>
      <c r="B87" s="68">
        <v>1010</v>
      </c>
      <c r="C87" s="39" t="s">
        <v>49</v>
      </c>
      <c r="D87" s="35" t="s">
        <v>54</v>
      </c>
      <c r="E87" s="35" t="s">
        <v>211</v>
      </c>
      <c r="F87" s="43" t="s">
        <v>227</v>
      </c>
      <c r="G87" s="33">
        <f>H87+I87</f>
        <v>227685</v>
      </c>
      <c r="H87" s="32">
        <f>103545+124140</f>
        <v>227685</v>
      </c>
      <c r="I87" s="32"/>
      <c r="J87" s="32"/>
    </row>
    <row r="88" spans="1:11" ht="20.25" customHeight="1" x14ac:dyDescent="0.25">
      <c r="A88" s="137" t="s">
        <v>88</v>
      </c>
      <c r="B88" s="138"/>
      <c r="C88" s="138"/>
      <c r="D88" s="139"/>
      <c r="E88" s="70"/>
      <c r="F88" s="71"/>
      <c r="G88" s="33">
        <f>G87</f>
        <v>227685</v>
      </c>
      <c r="H88" s="33">
        <f>H87</f>
        <v>227685</v>
      </c>
      <c r="I88" s="33">
        <f t="shared" ref="I88:J88" si="12">I87</f>
        <v>0</v>
      </c>
      <c r="J88" s="33">
        <f t="shared" si="12"/>
        <v>0</v>
      </c>
    </row>
    <row r="89" spans="1:11" ht="0.75" customHeight="1" x14ac:dyDescent="0.25">
      <c r="A89" s="8" t="s">
        <v>42</v>
      </c>
      <c r="B89" s="7" t="s">
        <v>45</v>
      </c>
      <c r="C89" s="7" t="s">
        <v>49</v>
      </c>
      <c r="D89" s="97" t="s">
        <v>54</v>
      </c>
      <c r="E89" s="186" t="s">
        <v>141</v>
      </c>
      <c r="F89" s="189" t="s">
        <v>251</v>
      </c>
      <c r="G89" s="2">
        <f t="shared" si="10"/>
        <v>0</v>
      </c>
      <c r="H89" s="33"/>
      <c r="I89" s="32"/>
      <c r="J89" s="12">
        <f>I89</f>
        <v>0</v>
      </c>
    </row>
    <row r="90" spans="1:11" ht="47.25" x14ac:dyDescent="0.25">
      <c r="A90" s="6" t="s">
        <v>43</v>
      </c>
      <c r="B90" s="39" t="s">
        <v>46</v>
      </c>
      <c r="C90" s="39" t="s">
        <v>50</v>
      </c>
      <c r="D90" s="69" t="s">
        <v>202</v>
      </c>
      <c r="E90" s="187"/>
      <c r="F90" s="190"/>
      <c r="G90" s="2">
        <f t="shared" si="10"/>
        <v>2753573</v>
      </c>
      <c r="H90" s="12">
        <f>47000</f>
        <v>47000</v>
      </c>
      <c r="I90" s="12">
        <f>1476000+30000+199879+207400+481006+10000+48000+175998+420000-341710</f>
        <v>2706573</v>
      </c>
      <c r="J90" s="107">
        <f>I90</f>
        <v>2706573</v>
      </c>
      <c r="K90" s="49"/>
    </row>
    <row r="91" spans="1:11" ht="21.75" customHeight="1" x14ac:dyDescent="0.2">
      <c r="A91" s="6" t="s">
        <v>118</v>
      </c>
      <c r="B91" s="39" t="s">
        <v>119</v>
      </c>
      <c r="C91" s="39" t="s">
        <v>120</v>
      </c>
      <c r="D91" s="25" t="s">
        <v>121</v>
      </c>
      <c r="E91" s="187"/>
      <c r="F91" s="190"/>
      <c r="G91" s="2">
        <f t="shared" si="10"/>
        <v>12250456</v>
      </c>
      <c r="H91" s="13"/>
      <c r="I91" s="12">
        <f>9167900+250000-1707559+630000+1805000+206000-40500+700000+800000+439615</f>
        <v>12250456</v>
      </c>
      <c r="J91" s="12">
        <f>I91-250000-200000</f>
        <v>11800456</v>
      </c>
    </row>
    <row r="92" spans="1:11" ht="33.75" hidden="1" customHeight="1" x14ac:dyDescent="0.2">
      <c r="A92" s="7"/>
      <c r="B92" s="87"/>
      <c r="C92" s="87"/>
      <c r="D92" s="59"/>
      <c r="E92" s="187"/>
      <c r="F92" s="190"/>
      <c r="G92" s="2">
        <f t="shared" si="10"/>
        <v>0</v>
      </c>
      <c r="H92" s="13"/>
      <c r="I92" s="12"/>
      <c r="J92" s="12">
        <f>I92</f>
        <v>0</v>
      </c>
    </row>
    <row r="93" spans="1:11" ht="51.75" customHeight="1" x14ac:dyDescent="0.25">
      <c r="A93" s="8" t="s">
        <v>32</v>
      </c>
      <c r="B93" s="7" t="s">
        <v>33</v>
      </c>
      <c r="C93" s="7" t="s">
        <v>34</v>
      </c>
      <c r="D93" s="29" t="s">
        <v>24</v>
      </c>
      <c r="E93" s="187"/>
      <c r="F93" s="190"/>
      <c r="G93" s="2">
        <f t="shared" si="10"/>
        <v>442976</v>
      </c>
      <c r="H93" s="13"/>
      <c r="I93" s="12">
        <f>392976+50000</f>
        <v>442976</v>
      </c>
      <c r="J93" s="12">
        <f>I93</f>
        <v>442976</v>
      </c>
    </row>
    <row r="94" spans="1:11" ht="24.75" customHeight="1" x14ac:dyDescent="0.25">
      <c r="A94" s="39" t="s">
        <v>35</v>
      </c>
      <c r="B94" s="39" t="s">
        <v>36</v>
      </c>
      <c r="C94" s="39" t="s">
        <v>34</v>
      </c>
      <c r="D94" s="67" t="s">
        <v>25</v>
      </c>
      <c r="E94" s="187"/>
      <c r="F94" s="190"/>
      <c r="G94" s="2">
        <f t="shared" si="10"/>
        <v>1030390</v>
      </c>
      <c r="H94" s="12">
        <f>199000+190000+30000+318182</f>
        <v>737182</v>
      </c>
      <c r="I94" s="12">
        <f>1000000-805000+100000-1792</f>
        <v>293208</v>
      </c>
      <c r="J94" s="12">
        <f>I94</f>
        <v>293208</v>
      </c>
    </row>
    <row r="95" spans="1:11" ht="30" customHeight="1" x14ac:dyDescent="0.25">
      <c r="A95" s="8" t="s">
        <v>158</v>
      </c>
      <c r="B95" s="7" t="s">
        <v>151</v>
      </c>
      <c r="C95" s="7" t="s">
        <v>167</v>
      </c>
      <c r="D95" s="29" t="s">
        <v>168</v>
      </c>
      <c r="E95" s="187"/>
      <c r="F95" s="190"/>
      <c r="G95" s="2">
        <f t="shared" si="10"/>
        <v>1792187</v>
      </c>
      <c r="H95" s="12">
        <f>3000000-1773510-200000+100000-140000-45000</f>
        <v>941490</v>
      </c>
      <c r="I95" s="12">
        <f>317325+319474+198910+14988</f>
        <v>850697</v>
      </c>
      <c r="J95" s="12">
        <f>I95</f>
        <v>850697</v>
      </c>
    </row>
    <row r="96" spans="1:11" ht="45" customHeight="1" x14ac:dyDescent="0.25">
      <c r="A96" s="8" t="s">
        <v>109</v>
      </c>
      <c r="B96" s="7" t="s">
        <v>102</v>
      </c>
      <c r="C96" s="7" t="s">
        <v>103</v>
      </c>
      <c r="D96" s="69" t="s">
        <v>104</v>
      </c>
      <c r="E96" s="187"/>
      <c r="F96" s="190"/>
      <c r="G96" s="2">
        <f t="shared" si="10"/>
        <v>18706</v>
      </c>
      <c r="H96" s="12"/>
      <c r="I96" s="12">
        <v>18706</v>
      </c>
      <c r="J96" s="12">
        <f>9436</f>
        <v>9436</v>
      </c>
    </row>
    <row r="97" spans="1:10" ht="59.25" customHeight="1" x14ac:dyDescent="0.25">
      <c r="A97" s="8" t="s">
        <v>142</v>
      </c>
      <c r="B97" s="7" t="s">
        <v>143</v>
      </c>
      <c r="C97" s="7" t="s">
        <v>46</v>
      </c>
      <c r="D97" s="29" t="s">
        <v>144</v>
      </c>
      <c r="E97" s="187"/>
      <c r="F97" s="190"/>
      <c r="G97" s="2">
        <f t="shared" si="10"/>
        <v>255000</v>
      </c>
      <c r="H97" s="12"/>
      <c r="I97" s="12">
        <f>195000+60000</f>
        <v>255000</v>
      </c>
      <c r="J97" s="12">
        <f>I97</f>
        <v>255000</v>
      </c>
    </row>
    <row r="98" spans="1:10" ht="29.25" customHeight="1" x14ac:dyDescent="0.25">
      <c r="A98" s="8" t="s">
        <v>238</v>
      </c>
      <c r="B98" s="7" t="s">
        <v>236</v>
      </c>
      <c r="C98" s="7" t="s">
        <v>53</v>
      </c>
      <c r="D98" s="97" t="s">
        <v>237</v>
      </c>
      <c r="E98" s="187"/>
      <c r="F98" s="190"/>
      <c r="G98" s="2">
        <f t="shared" si="10"/>
        <v>107320</v>
      </c>
      <c r="H98" s="12"/>
      <c r="I98" s="12">
        <f>73600+33720</f>
        <v>107320</v>
      </c>
      <c r="J98" s="107">
        <f>I98</f>
        <v>107320</v>
      </c>
    </row>
    <row r="99" spans="1:10" ht="18.75" customHeight="1" x14ac:dyDescent="0.25">
      <c r="A99" s="8" t="s">
        <v>114</v>
      </c>
      <c r="B99" s="7" t="s">
        <v>115</v>
      </c>
      <c r="C99" s="7" t="s">
        <v>53</v>
      </c>
      <c r="D99" s="69" t="s">
        <v>116</v>
      </c>
      <c r="E99" s="187"/>
      <c r="F99" s="190"/>
      <c r="G99" s="2">
        <f t="shared" si="10"/>
        <v>139817</v>
      </c>
      <c r="H99" s="13"/>
      <c r="I99" s="12">
        <f>1476000-85155-1305000+150000-24988-11040-60000</f>
        <v>139817</v>
      </c>
      <c r="J99" s="12">
        <f>I99</f>
        <v>139817</v>
      </c>
    </row>
    <row r="100" spans="1:10" ht="34.5" customHeight="1" x14ac:dyDescent="0.25">
      <c r="A100" s="8" t="s">
        <v>256</v>
      </c>
      <c r="B100" s="7" t="s">
        <v>257</v>
      </c>
      <c r="C100" s="7" t="s">
        <v>17</v>
      </c>
      <c r="D100" s="97" t="s">
        <v>258</v>
      </c>
      <c r="E100" s="187"/>
      <c r="F100" s="190"/>
      <c r="G100" s="2">
        <f t="shared" si="10"/>
        <v>1729426</v>
      </c>
      <c r="H100" s="13"/>
      <c r="I100" s="12">
        <f>1729426</f>
        <v>1729426</v>
      </c>
      <c r="J100" s="12">
        <f>I100-47360</f>
        <v>1682066</v>
      </c>
    </row>
    <row r="101" spans="1:10" ht="18.75" customHeight="1" x14ac:dyDescent="0.25">
      <c r="A101" s="8" t="s">
        <v>164</v>
      </c>
      <c r="B101" s="7" t="s">
        <v>165</v>
      </c>
      <c r="C101" s="7" t="s">
        <v>17</v>
      </c>
      <c r="D101" s="72" t="s">
        <v>166</v>
      </c>
      <c r="E101" s="187"/>
      <c r="F101" s="190"/>
      <c r="G101" s="2">
        <f t="shared" si="10"/>
        <v>738750</v>
      </c>
      <c r="H101" s="13"/>
      <c r="I101" s="12">
        <f>1862500-1123750</f>
        <v>738750</v>
      </c>
      <c r="J101" s="12">
        <f>I101</f>
        <v>738750</v>
      </c>
    </row>
    <row r="102" spans="1:10" ht="15.75" x14ac:dyDescent="0.2">
      <c r="A102" s="137" t="s">
        <v>88</v>
      </c>
      <c r="B102" s="140"/>
      <c r="C102" s="140"/>
      <c r="D102" s="141"/>
      <c r="E102" s="188"/>
      <c r="F102" s="191"/>
      <c r="G102" s="2">
        <f t="shared" si="10"/>
        <v>21258601</v>
      </c>
      <c r="H102" s="2">
        <f>H89+H90+H91+H92+H93+H94+H95+H96+H97+H98+H99+H100+H101</f>
        <v>1725672</v>
      </c>
      <c r="I102" s="2">
        <f t="shared" ref="I102:J102" si="13">I89+I90+I91+I92+I93+I94+I95+I96+I97+I98+I99+I100+I101</f>
        <v>19532929</v>
      </c>
      <c r="J102" s="2">
        <f t="shared" si="13"/>
        <v>19026299</v>
      </c>
    </row>
    <row r="103" spans="1:10" ht="19.5" customHeight="1" x14ac:dyDescent="0.25">
      <c r="A103" s="178" t="s">
        <v>169</v>
      </c>
      <c r="B103" s="180" t="s">
        <v>170</v>
      </c>
      <c r="C103" s="180" t="s">
        <v>171</v>
      </c>
      <c r="D103" s="29" t="s">
        <v>225</v>
      </c>
      <c r="E103" s="147" t="s">
        <v>208</v>
      </c>
      <c r="F103" s="171" t="s">
        <v>249</v>
      </c>
      <c r="G103" s="2">
        <f>H103+I103</f>
        <v>276905</v>
      </c>
      <c r="H103" s="4">
        <f>309000-32095</f>
        <v>276905</v>
      </c>
      <c r="I103" s="2"/>
      <c r="J103" s="2"/>
    </row>
    <row r="104" spans="1:10" ht="19.5" customHeight="1" x14ac:dyDescent="0.25">
      <c r="A104" s="182"/>
      <c r="B104" s="184"/>
      <c r="C104" s="184"/>
      <c r="D104" s="29" t="s">
        <v>250</v>
      </c>
      <c r="E104" s="148"/>
      <c r="F104" s="172"/>
      <c r="G104" s="2">
        <f>H104+I104</f>
        <v>40500</v>
      </c>
      <c r="H104" s="4"/>
      <c r="I104" s="4">
        <v>40500</v>
      </c>
      <c r="J104" s="4">
        <f>I104</f>
        <v>40500</v>
      </c>
    </row>
    <row r="105" spans="1:10" ht="19.5" customHeight="1" x14ac:dyDescent="0.25">
      <c r="A105" s="183"/>
      <c r="B105" s="185"/>
      <c r="C105" s="185"/>
      <c r="D105" s="29" t="s">
        <v>226</v>
      </c>
      <c r="E105" s="148"/>
      <c r="F105" s="172"/>
      <c r="G105" s="2">
        <f>H105+I105</f>
        <v>43328</v>
      </c>
      <c r="H105" s="4">
        <f>53000-9672</f>
        <v>43328</v>
      </c>
      <c r="I105" s="2"/>
      <c r="J105" s="2"/>
    </row>
    <row r="106" spans="1:10" ht="15.75" x14ac:dyDescent="0.25">
      <c r="A106" s="41" t="s">
        <v>173</v>
      </c>
      <c r="B106" s="42" t="s">
        <v>174</v>
      </c>
      <c r="C106" s="42" t="s">
        <v>175</v>
      </c>
      <c r="D106" s="29" t="s">
        <v>203</v>
      </c>
      <c r="E106" s="148"/>
      <c r="F106" s="172"/>
      <c r="G106" s="2">
        <f t="shared" ref="G106:G112" si="14">H106+I106</f>
        <v>474042</v>
      </c>
      <c r="H106" s="4">
        <f>24000+63630-2230</f>
        <v>85400</v>
      </c>
      <c r="I106" s="4">
        <f>388642</f>
        <v>388642</v>
      </c>
      <c r="J106" s="4">
        <f>I106</f>
        <v>388642</v>
      </c>
    </row>
    <row r="107" spans="1:10" ht="31.5" x14ac:dyDescent="0.25">
      <c r="A107" s="178" t="s">
        <v>176</v>
      </c>
      <c r="B107" s="180" t="s">
        <v>170</v>
      </c>
      <c r="C107" s="180" t="s">
        <v>171</v>
      </c>
      <c r="D107" s="29" t="s">
        <v>180</v>
      </c>
      <c r="E107" s="148"/>
      <c r="F107" s="172"/>
      <c r="G107" s="2">
        <f t="shared" si="14"/>
        <v>86853</v>
      </c>
      <c r="H107" s="4">
        <f>130000-43147</f>
        <v>86853</v>
      </c>
      <c r="I107" s="2"/>
      <c r="J107" s="2"/>
    </row>
    <row r="108" spans="1:10" ht="31.5" x14ac:dyDescent="0.25">
      <c r="A108" s="179"/>
      <c r="B108" s="181"/>
      <c r="C108" s="181"/>
      <c r="D108" s="29" t="s">
        <v>181</v>
      </c>
      <c r="E108" s="148"/>
      <c r="F108" s="172"/>
      <c r="G108" s="2">
        <f t="shared" si="14"/>
        <v>41510</v>
      </c>
      <c r="H108" s="4">
        <f>47000-5490</f>
        <v>41510</v>
      </c>
      <c r="I108" s="2"/>
      <c r="J108" s="2"/>
    </row>
    <row r="109" spans="1:10" ht="31.5" x14ac:dyDescent="0.25">
      <c r="A109" s="41" t="s">
        <v>177</v>
      </c>
      <c r="B109" s="42" t="s">
        <v>170</v>
      </c>
      <c r="C109" s="42" t="s">
        <v>171</v>
      </c>
      <c r="D109" s="29" t="s">
        <v>182</v>
      </c>
      <c r="E109" s="148"/>
      <c r="F109" s="172"/>
      <c r="G109" s="2">
        <f t="shared" si="14"/>
        <v>13445</v>
      </c>
      <c r="H109" s="4">
        <f>17000+8640-12195</f>
        <v>13445</v>
      </c>
      <c r="I109" s="2"/>
      <c r="J109" s="2"/>
    </row>
    <row r="110" spans="1:10" ht="31.5" x14ac:dyDescent="0.25">
      <c r="A110" s="41" t="s">
        <v>178</v>
      </c>
      <c r="B110" s="42" t="s">
        <v>170</v>
      </c>
      <c r="C110" s="42" t="s">
        <v>171</v>
      </c>
      <c r="D110" s="29" t="s">
        <v>183</v>
      </c>
      <c r="E110" s="148"/>
      <c r="F110" s="172"/>
      <c r="G110" s="2">
        <f t="shared" si="14"/>
        <v>3000</v>
      </c>
      <c r="H110" s="4">
        <f>4000-1000</f>
        <v>3000</v>
      </c>
      <c r="I110" s="2"/>
      <c r="J110" s="2"/>
    </row>
    <row r="111" spans="1:10" ht="15.75" x14ac:dyDescent="0.25">
      <c r="A111" s="8" t="s">
        <v>179</v>
      </c>
      <c r="B111" s="7" t="s">
        <v>170</v>
      </c>
      <c r="C111" s="7" t="s">
        <v>171</v>
      </c>
      <c r="D111" s="29" t="s">
        <v>172</v>
      </c>
      <c r="E111" s="148"/>
      <c r="F111" s="172"/>
      <c r="G111" s="2">
        <f t="shared" si="14"/>
        <v>26000</v>
      </c>
      <c r="H111" s="4">
        <v>26000</v>
      </c>
      <c r="I111" s="2"/>
      <c r="J111" s="2"/>
    </row>
    <row r="112" spans="1:10" ht="15.75" x14ac:dyDescent="0.2">
      <c r="A112" s="137" t="s">
        <v>88</v>
      </c>
      <c r="B112" s="140"/>
      <c r="C112" s="140"/>
      <c r="D112" s="141"/>
      <c r="E112" s="149"/>
      <c r="F112" s="173"/>
      <c r="G112" s="2">
        <f t="shared" si="14"/>
        <v>1005583</v>
      </c>
      <c r="H112" s="2">
        <f>H103+H104+H105+H106+H107+H108+H109+H110+H111</f>
        <v>576441</v>
      </c>
      <c r="I112" s="2">
        <f t="shared" ref="I112:J112" si="15">I103+I104+I105+I106+I107+I108+I109+I110+I111</f>
        <v>429142</v>
      </c>
      <c r="J112" s="2">
        <f t="shared" si="15"/>
        <v>429142</v>
      </c>
    </row>
    <row r="113" spans="1:12" ht="15.75" x14ac:dyDescent="0.2">
      <c r="A113" s="23" t="s">
        <v>6</v>
      </c>
      <c r="B113" s="23" t="s">
        <v>6</v>
      </c>
      <c r="C113" s="23" t="s">
        <v>6</v>
      </c>
      <c r="D113" s="73" t="s">
        <v>7</v>
      </c>
      <c r="E113" s="55" t="s">
        <v>6</v>
      </c>
      <c r="F113" s="55" t="s">
        <v>6</v>
      </c>
      <c r="G113" s="2">
        <f>H113+I113</f>
        <v>50102256.359999999</v>
      </c>
      <c r="H113" s="2">
        <f>H11+H29+H38+H52+H55+H61</f>
        <v>26204124</v>
      </c>
      <c r="I113" s="2">
        <f t="shared" ref="I113:J113" si="16">I11+I29+I38+I52+I55+I61</f>
        <v>23898132.359999999</v>
      </c>
      <c r="J113" s="118">
        <f t="shared" si="16"/>
        <v>23391502.359999999</v>
      </c>
      <c r="K113" s="119">
        <f>I113-J113</f>
        <v>506630</v>
      </c>
      <c r="L113" s="112">
        <f>J113-'[1]додаток 6'!$J$59</f>
        <v>23391502.359999999</v>
      </c>
    </row>
    <row r="114" spans="1:12" ht="12" customHeight="1" x14ac:dyDescent="0.25">
      <c r="K114" s="116" t="s">
        <v>264</v>
      </c>
      <c r="L114" s="111" t="e">
        <f>Д6</f>
        <v>#NAME?</v>
      </c>
    </row>
    <row r="115" spans="1:12" ht="64.5" customHeight="1" x14ac:dyDescent="0.25">
      <c r="H115" s="74"/>
      <c r="I115" s="75"/>
    </row>
    <row r="116" spans="1:12" s="79" customFormat="1" ht="20.25" x14ac:dyDescent="0.3">
      <c r="A116" s="24"/>
      <c r="B116" s="24"/>
      <c r="C116" s="24"/>
      <c r="D116" s="76" t="s">
        <v>146</v>
      </c>
      <c r="E116" s="77"/>
      <c r="F116" s="77"/>
      <c r="G116" s="78" t="s">
        <v>205</v>
      </c>
      <c r="H116" s="17"/>
      <c r="I116" s="17"/>
      <c r="J116" s="17"/>
    </row>
    <row r="117" spans="1:12" x14ac:dyDescent="0.25">
      <c r="I117" s="117" t="s">
        <v>265</v>
      </c>
      <c r="J117" s="117" t="s">
        <v>266</v>
      </c>
      <c r="K117" s="80"/>
    </row>
    <row r="118" spans="1:12" ht="15.75" x14ac:dyDescent="0.25">
      <c r="G118" s="18"/>
      <c r="H118" s="18"/>
      <c r="I118" s="81"/>
      <c r="J118" s="174"/>
      <c r="K118" s="175"/>
    </row>
    <row r="119" spans="1:12" ht="15.75" x14ac:dyDescent="0.25">
      <c r="G119" s="18"/>
      <c r="H119" s="18">
        <v>25629057</v>
      </c>
      <c r="I119" s="19">
        <v>22144956</v>
      </c>
      <c r="J119" s="110">
        <v>21885686</v>
      </c>
      <c r="K119" s="108"/>
    </row>
    <row r="120" spans="1:12" ht="15.75" x14ac:dyDescent="0.25">
      <c r="G120" s="19"/>
      <c r="H120" s="81">
        <f>H119-H113</f>
        <v>-575067</v>
      </c>
      <c r="I120" s="104">
        <f>I113-I119</f>
        <v>1753176.3599999994</v>
      </c>
      <c r="J120" s="104">
        <f>J113-J119</f>
        <v>1505816.3599999994</v>
      </c>
      <c r="K120" s="109"/>
    </row>
    <row r="121" spans="1:12" ht="15.75" x14ac:dyDescent="0.25">
      <c r="G121" s="176"/>
      <c r="H121" s="177"/>
      <c r="I121" s="82"/>
      <c r="J121" s="18"/>
    </row>
    <row r="122" spans="1:12" ht="15.75" x14ac:dyDescent="0.25">
      <c r="G122" s="19"/>
      <c r="H122" s="19"/>
      <c r="I122" s="83"/>
      <c r="J122" s="18"/>
    </row>
    <row r="123" spans="1:12" ht="15.75" x14ac:dyDescent="0.25">
      <c r="G123" s="19"/>
      <c r="H123" s="19"/>
      <c r="I123" s="18"/>
      <c r="J123" s="18"/>
    </row>
    <row r="124" spans="1:12" ht="15.75" x14ac:dyDescent="0.25">
      <c r="G124" s="18"/>
      <c r="H124" s="18"/>
      <c r="I124" s="18"/>
      <c r="J124" s="18"/>
    </row>
    <row r="126" spans="1:12" x14ac:dyDescent="0.25">
      <c r="J126" s="105"/>
    </row>
    <row r="129" spans="1:10" ht="12.75" x14ac:dyDescent="0.2">
      <c r="A129" s="10"/>
      <c r="B129" s="10"/>
      <c r="C129" s="10"/>
      <c r="D129" s="10"/>
      <c r="G129" s="10"/>
      <c r="H129" s="10"/>
      <c r="I129" s="20"/>
      <c r="J129" s="10"/>
    </row>
  </sheetData>
  <mergeCells count="82">
    <mergeCell ref="D8:D9"/>
    <mergeCell ref="A12:A14"/>
    <mergeCell ref="B12:B14"/>
    <mergeCell ref="B66:B67"/>
    <mergeCell ref="C66:C67"/>
    <mergeCell ref="A66:A67"/>
    <mergeCell ref="C12:C14"/>
    <mergeCell ref="D12:D14"/>
    <mergeCell ref="A15:D15"/>
    <mergeCell ref="D55:F55"/>
    <mergeCell ref="D57:D59"/>
    <mergeCell ref="D23:D24"/>
    <mergeCell ref="C23:C24"/>
    <mergeCell ref="B23:B24"/>
    <mergeCell ref="A23:A24"/>
    <mergeCell ref="F40:F43"/>
    <mergeCell ref="E16:E17"/>
    <mergeCell ref="F16:F17"/>
    <mergeCell ref="F59:F60"/>
    <mergeCell ref="E25:E26"/>
    <mergeCell ref="F25:F26"/>
    <mergeCell ref="D29:F29"/>
    <mergeCell ref="E59:E60"/>
    <mergeCell ref="F73:F86"/>
    <mergeCell ref="A86:D86"/>
    <mergeCell ref="E19:E20"/>
    <mergeCell ref="F19:F20"/>
    <mergeCell ref="A29:C29"/>
    <mergeCell ref="C44:C48"/>
    <mergeCell ref="B44:B48"/>
    <mergeCell ref="A44:A48"/>
    <mergeCell ref="A57:A59"/>
    <mergeCell ref="B57:B59"/>
    <mergeCell ref="C57:C59"/>
    <mergeCell ref="E47:E51"/>
    <mergeCell ref="F47:F51"/>
    <mergeCell ref="A102:D102"/>
    <mergeCell ref="A112:D112"/>
    <mergeCell ref="F103:F112"/>
    <mergeCell ref="J118:K118"/>
    <mergeCell ref="G121:H121"/>
    <mergeCell ref="E103:E112"/>
    <mergeCell ref="A107:A108"/>
    <mergeCell ref="B107:B108"/>
    <mergeCell ref="C107:C108"/>
    <mergeCell ref="A103:A105"/>
    <mergeCell ref="B103:B105"/>
    <mergeCell ref="C103:C105"/>
    <mergeCell ref="E89:E102"/>
    <mergeCell ref="F89:F102"/>
    <mergeCell ref="A88:D88"/>
    <mergeCell ref="A36:D36"/>
    <mergeCell ref="A38:C38"/>
    <mergeCell ref="D38:F38"/>
    <mergeCell ref="A43:D43"/>
    <mergeCell ref="E30:E36"/>
    <mergeCell ref="E40:E43"/>
    <mergeCell ref="F30:F36"/>
    <mergeCell ref="D44:E44"/>
    <mergeCell ref="D52:F52"/>
    <mergeCell ref="A55:C55"/>
    <mergeCell ref="A61:F61"/>
    <mergeCell ref="E64:E72"/>
    <mergeCell ref="F64:F72"/>
    <mergeCell ref="A72:D72"/>
    <mergeCell ref="E73:E86"/>
    <mergeCell ref="F8:F9"/>
    <mergeCell ref="A11:C11"/>
    <mergeCell ref="G1:J1"/>
    <mergeCell ref="G2:J2"/>
    <mergeCell ref="G3:J3"/>
    <mergeCell ref="G4:J4"/>
    <mergeCell ref="G8:G9"/>
    <mergeCell ref="H8:H9"/>
    <mergeCell ref="I8:J8"/>
    <mergeCell ref="D11:F11"/>
    <mergeCell ref="E8:E9"/>
    <mergeCell ref="A2:B2"/>
    <mergeCell ref="A3:B3"/>
    <mergeCell ref="A8:A9"/>
    <mergeCell ref="B8:B9"/>
    <mergeCell ref="C8:C9"/>
  </mergeCells>
  <pageMargins left="0.23622047244094491" right="0.19685039370078741" top="0.39370078740157483" bottom="0.19685039370078741" header="0.19685039370078741" footer="0.19685039370078741"/>
  <pageSetup paperSize="9" scale="63" orientation="landscape" r:id="rId1"/>
  <headerFooter alignWithMargins="0"/>
  <rowBreaks count="3" manualBreakCount="3">
    <brk id="26" max="9" man="1"/>
    <brk id="54" max="9" man="1"/>
    <brk id="9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7 (2)</vt:lpstr>
      <vt:lpstr>'додаток 7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RTI</dc:creator>
  <cp:lastModifiedBy>Користувач Windows</cp:lastModifiedBy>
  <cp:lastPrinted>2020-06-25T05:54:02Z</cp:lastPrinted>
  <dcterms:created xsi:type="dcterms:W3CDTF">2018-12-04T09:08:53Z</dcterms:created>
  <dcterms:modified xsi:type="dcterms:W3CDTF">2020-08-12T07:24:12Z</dcterms:modified>
</cp:coreProperties>
</file>